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ustomProperty3.bin" ContentType="application/vnd.openxmlformats-officedocument.spreadsheetml.customProperty"/>
  <Override PartName="/xl/tables/table3.xml" ContentType="application/vnd.openxmlformats-officedocument.spreadsheetml.table+xml"/>
  <Override PartName="/xl/customProperty4.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oneywellprod-my.sharepoint.com/personal/andrew_baldwin_honeywell_com/Documents/Documents/Offering Files/Plus/"/>
    </mc:Choice>
  </mc:AlternateContent>
  <xr:revisionPtr revIDLastSave="11" documentId="8_{DB80980E-494E-4725-8B7B-6771D9357285}" xr6:coauthVersionLast="47" xr6:coauthVersionMax="47" xr10:uidLastSave="{503BF513-AC89-4056-A5E0-597F2985A08C}"/>
  <bookViews>
    <workbookView xWindow="-120" yWindow="-120" windowWidth="29040" windowHeight="15840" xr2:uid="{875C42CE-655F-4AF4-BB61-6F6597277DB9}"/>
  </bookViews>
  <sheets>
    <sheet name="Instructions" sheetId="8" r:id="rId1"/>
    <sheet name="Loop 1 Field Devices" sheetId="4" r:id="rId2"/>
    <sheet name="Loop 2 Field Devices" sheetId="9" r:id="rId3"/>
    <sheet name="Loop_Lenght_Section_Selection" sheetId="10" state="hidden" r:id="rId4"/>
    <sheet name="PL-1000"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8" l="1"/>
  <c r="A6" i="8" s="1"/>
  <c r="A7" i="8" s="1"/>
  <c r="A8" i="8" s="1"/>
  <c r="A9" i="8" s="1"/>
  <c r="A10" i="8" s="1"/>
  <c r="A11" i="8" s="1"/>
  <c r="A12" i="8" s="1"/>
  <c r="A13" i="8" s="1"/>
  <c r="A14" i="8" s="1"/>
  <c r="A15" i="8" s="1"/>
  <c r="A16" i="8" s="1"/>
  <c r="A17" i="8" s="1"/>
  <c r="A18" i="8" s="1"/>
  <c r="A4" i="8"/>
  <c r="F3" i="10"/>
  <c r="H8" i="10" s="1"/>
  <c r="E3" i="10"/>
  <c r="H7" i="10" s="1"/>
  <c r="C19" i="7"/>
  <c r="I17" i="9"/>
  <c r="H17" i="9"/>
  <c r="E17" i="9"/>
  <c r="E17" i="4"/>
  <c r="H17" i="4"/>
  <c r="I17" i="4"/>
  <c r="I5" i="9"/>
  <c r="H5" i="9"/>
  <c r="E5" i="9"/>
  <c r="E5" i="4"/>
  <c r="H5" i="4"/>
  <c r="I5" i="4"/>
  <c r="G3" i="7"/>
  <c r="I18" i="9"/>
  <c r="H18" i="9"/>
  <c r="E18" i="9"/>
  <c r="E18" i="4"/>
  <c r="H18" i="4"/>
  <c r="I18" i="4"/>
  <c r="G5" i="7" l="1"/>
  <c r="E5" i="7"/>
  <c r="I47" i="9"/>
  <c r="H47" i="9"/>
  <c r="E47" i="9"/>
  <c r="I46" i="9"/>
  <c r="H46" i="9"/>
  <c r="E46" i="9"/>
  <c r="I45" i="9"/>
  <c r="H45" i="9"/>
  <c r="E45" i="9"/>
  <c r="I44" i="9"/>
  <c r="H44" i="9"/>
  <c r="E44" i="9"/>
  <c r="I43" i="9"/>
  <c r="H43" i="9"/>
  <c r="E43" i="9"/>
  <c r="I42" i="9"/>
  <c r="H42" i="9"/>
  <c r="E42" i="9"/>
  <c r="I41" i="9"/>
  <c r="H41" i="9"/>
  <c r="E41" i="9"/>
  <c r="I40" i="9"/>
  <c r="H40" i="9"/>
  <c r="E40" i="9"/>
  <c r="I39" i="9"/>
  <c r="H39" i="9"/>
  <c r="E39" i="9"/>
  <c r="I38" i="9"/>
  <c r="H38" i="9"/>
  <c r="E38" i="9"/>
  <c r="I37" i="9"/>
  <c r="H37" i="9"/>
  <c r="E37" i="9"/>
  <c r="I36" i="9"/>
  <c r="H36" i="9"/>
  <c r="E36" i="9"/>
  <c r="I35" i="9"/>
  <c r="H35" i="9"/>
  <c r="E35" i="9"/>
  <c r="I34" i="9"/>
  <c r="H34" i="9"/>
  <c r="E34" i="9"/>
  <c r="I33" i="9"/>
  <c r="H33" i="9"/>
  <c r="E33" i="9"/>
  <c r="I32" i="9"/>
  <c r="H32" i="9"/>
  <c r="E32" i="9"/>
  <c r="I31" i="9"/>
  <c r="H31" i="9"/>
  <c r="E31" i="9"/>
  <c r="I30" i="9"/>
  <c r="H30" i="9"/>
  <c r="E30" i="9"/>
  <c r="I29" i="9"/>
  <c r="H29" i="9"/>
  <c r="E29" i="9"/>
  <c r="I28" i="9"/>
  <c r="H28" i="9"/>
  <c r="E28" i="9"/>
  <c r="I27" i="9"/>
  <c r="H27" i="9"/>
  <c r="E27" i="9"/>
  <c r="I26" i="9"/>
  <c r="H26" i="9"/>
  <c r="E26" i="9"/>
  <c r="I25" i="9"/>
  <c r="H25" i="9"/>
  <c r="E25" i="9"/>
  <c r="I24" i="9"/>
  <c r="H24" i="9"/>
  <c r="E24" i="9"/>
  <c r="I23" i="9"/>
  <c r="H23" i="9"/>
  <c r="E23" i="9"/>
  <c r="I22" i="9"/>
  <c r="H22" i="9"/>
  <c r="E22" i="9"/>
  <c r="I21" i="9"/>
  <c r="H21" i="9"/>
  <c r="E21" i="9"/>
  <c r="I20" i="9"/>
  <c r="H20" i="9"/>
  <c r="E20" i="9"/>
  <c r="I19" i="9"/>
  <c r="H19" i="9"/>
  <c r="E19" i="9"/>
  <c r="I16" i="9"/>
  <c r="H16" i="9"/>
  <c r="E16" i="9"/>
  <c r="I15" i="9"/>
  <c r="H15" i="9"/>
  <c r="E15" i="9"/>
  <c r="I14" i="9"/>
  <c r="H14" i="9"/>
  <c r="E14" i="9"/>
  <c r="I13" i="9"/>
  <c r="H13" i="9"/>
  <c r="E13" i="9"/>
  <c r="I12" i="9"/>
  <c r="H12" i="9"/>
  <c r="E12" i="9"/>
  <c r="I11" i="9"/>
  <c r="H11" i="9"/>
  <c r="E11" i="9"/>
  <c r="I10" i="9"/>
  <c r="H10" i="9"/>
  <c r="E10" i="9"/>
  <c r="I9" i="9"/>
  <c r="H9" i="9"/>
  <c r="E9" i="9"/>
  <c r="I8" i="9"/>
  <c r="H8" i="9"/>
  <c r="E8" i="9"/>
  <c r="I7" i="9"/>
  <c r="H7" i="9"/>
  <c r="E7" i="9"/>
  <c r="I6" i="9"/>
  <c r="E6" i="9"/>
  <c r="I4" i="9"/>
  <c r="H4" i="9"/>
  <c r="E4" i="9"/>
  <c r="G9" i="7"/>
  <c r="E9" i="7"/>
  <c r="E4" i="4"/>
  <c r="E6" i="4"/>
  <c r="E7" i="4"/>
  <c r="E8" i="4"/>
  <c r="E9" i="4"/>
  <c r="E10" i="4"/>
  <c r="E11" i="4"/>
  <c r="E12" i="4"/>
  <c r="E13" i="4"/>
  <c r="E14" i="4"/>
  <c r="E15" i="4"/>
  <c r="E16"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H7" i="4"/>
  <c r="H8" i="4"/>
  <c r="H9" i="4"/>
  <c r="H10" i="4"/>
  <c r="I6" i="4"/>
  <c r="I7" i="4"/>
  <c r="I8" i="4"/>
  <c r="I9" i="4"/>
  <c r="I10" i="4"/>
  <c r="H20" i="4"/>
  <c r="I24" i="4"/>
  <c r="H24" i="4"/>
  <c r="C17" i="7"/>
  <c r="G7" i="7"/>
  <c r="E7" i="7"/>
  <c r="I11" i="4"/>
  <c r="I12" i="4"/>
  <c r="I13" i="4"/>
  <c r="I14" i="4"/>
  <c r="I15" i="4"/>
  <c r="I16" i="4"/>
  <c r="I19" i="4"/>
  <c r="I20" i="4"/>
  <c r="I21" i="4"/>
  <c r="I22" i="4"/>
  <c r="I23" i="4"/>
  <c r="I25" i="4"/>
  <c r="I26" i="4"/>
  <c r="I27" i="4"/>
  <c r="I28" i="4"/>
  <c r="I29" i="4"/>
  <c r="I30" i="4"/>
  <c r="I31" i="4"/>
  <c r="I32" i="4"/>
  <c r="I33" i="4"/>
  <c r="I34" i="4"/>
  <c r="I35" i="4"/>
  <c r="I36" i="4"/>
  <c r="I37" i="4"/>
  <c r="I38" i="4"/>
  <c r="I39" i="4"/>
  <c r="I40" i="4"/>
  <c r="I41" i="4"/>
  <c r="I42" i="4"/>
  <c r="I43" i="4"/>
  <c r="I44" i="4"/>
  <c r="I45" i="4"/>
  <c r="I46" i="4"/>
  <c r="I47" i="4"/>
  <c r="I4" i="4"/>
  <c r="H44" i="4"/>
  <c r="H45" i="4"/>
  <c r="H46" i="4"/>
  <c r="H47" i="4"/>
  <c r="H11" i="4"/>
  <c r="H12" i="4"/>
  <c r="H13" i="4"/>
  <c r="H14" i="4"/>
  <c r="H15" i="4"/>
  <c r="H16" i="4"/>
  <c r="H19" i="4"/>
  <c r="H21" i="4"/>
  <c r="H22" i="4"/>
  <c r="H23" i="4"/>
  <c r="H25" i="4"/>
  <c r="H26" i="4"/>
  <c r="H27" i="4"/>
  <c r="H28" i="4"/>
  <c r="H29" i="4"/>
  <c r="H30" i="4"/>
  <c r="H31" i="4"/>
  <c r="H32" i="4"/>
  <c r="H33" i="4"/>
  <c r="H34" i="4"/>
  <c r="H35" i="4"/>
  <c r="H36" i="4"/>
  <c r="H37" i="4"/>
  <c r="H38" i="4"/>
  <c r="H39" i="4"/>
  <c r="H40" i="4"/>
  <c r="H41" i="4"/>
  <c r="H42" i="4"/>
  <c r="H43" i="4"/>
  <c r="H4" i="4"/>
  <c r="G19" i="7" l="1"/>
  <c r="E11" i="7"/>
  <c r="G17" i="7"/>
  <c r="E2" i="4"/>
  <c r="C13" i="7" s="1"/>
  <c r="I2" i="9"/>
  <c r="H2" i="9"/>
  <c r="E15" i="7" s="1"/>
  <c r="E2" i="9"/>
  <c r="C15" i="7" s="1"/>
  <c r="G11" i="7"/>
  <c r="H2" i="4"/>
  <c r="E13" i="7" s="1"/>
  <c r="I2" i="4"/>
  <c r="E23" i="7" l="1"/>
  <c r="C36" i="7" s="1"/>
  <c r="E21" i="7"/>
  <c r="E25" i="7"/>
  <c r="E27" i="7" s="1"/>
  <c r="E29" i="7" s="1"/>
  <c r="G25" i="7"/>
  <c r="D23" i="7" l="1"/>
  <c r="C35" i="7"/>
  <c r="D21" i="7"/>
  <c r="G27" i="7"/>
  <c r="E30" i="7" s="1"/>
  <c r="D27" i="7" l="1"/>
  <c r="E31" i="7"/>
  <c r="E32" i="7" s="1"/>
  <c r="D3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tc={6AF0AD4B-CAE9-469B-9619-787810A3919A}</author>
    <author>tc={DC1F1F6E-DA82-4BDA-A5B4-029BF4445165}</author>
    <author>tc={E0A96492-3C7A-4489-8F1C-BAA0322AA950}</author>
    <author>tc={09905A77-6E02-4C9C-A3D3-07D35BDBBF27}</author>
    <author>tc={A64631C8-7C86-4649-947A-3091A04AA023}</author>
    <author>tc={03F1AF17-D54D-43CA-8B8F-AC983538D290}</author>
    <author>tc={B7AAA865-0C30-4BDD-9336-4F233132435B}</author>
    <author>tc={87E486DB-90F5-41BD-93FA-ABFD9B4CEF34}</author>
  </authors>
  <commentList>
    <comment ref="G3" authorId="0" shapeId="0" xr:uid="{6AF0AD4B-CAE9-469B-9619-787810A3919A}">
      <text>
        <t>[Threaded comment]
Your version of Excel allows you to read this threaded comment; however, any edits to it will get removed if the file is opened in a newer version of Excel. Learn more: https://go.microsoft.com/fwlink/?linkid=870924
Comment:
    Includes absorbtion of buzzer  and alarm led both on and 5 Point Detector Contemporary in Alarm Condition.</t>
      </text>
    </comment>
    <comment ref="C5" authorId="1" shapeId="0" xr:uid="{DC1F1F6E-DA82-4BDA-A5B4-029BF4445165}">
      <text>
        <t>[Threaded comment]
Your version of Excel allows you to read this threaded comment; however, any edits to it will get removed if the file is opened in a newer version of Excel. Learn more: https://go.microsoft.com/fwlink/?linkid=870924
Comment:
    Manual Entry - Max 1 Card</t>
      </text>
    </comment>
    <comment ref="C7" authorId="2" shapeId="0" xr:uid="{E0A96492-3C7A-4489-8F1C-BAA0322AA950}">
      <text>
        <t>[Threaded comment]
Your version of Excel allows you to read this threaded comment; however, any edits to it will get removed if the file is opened in a newer version of Excel. Learn more: https://go.microsoft.com/fwlink/?linkid=870924
Comment:
    Manual Entry</t>
      </text>
    </comment>
    <comment ref="D7" authorId="3" shapeId="0" xr:uid="{09905A77-6E02-4C9C-A3D3-07D35BDBBF27}">
      <text>
        <t>[Threaded comment]
Your version of Excel allows you to read this threaded comment; however, any edits to it will get removed if the file is opened in a newer version of Excel. Learn more: https://go.microsoft.com/fwlink/?linkid=870924
Comment:
    Manual Entry</t>
      </text>
    </comment>
    <comment ref="F7" authorId="4" shapeId="0" xr:uid="{A64631C8-7C86-4649-947A-3091A04AA023}">
      <text>
        <t>[Threaded comment]
Your version of Excel allows you to read this threaded comment; however, any edits to it will get removed if the file is opened in a newer version of Excel. Learn more: https://go.microsoft.com/fwlink/?linkid=870924
Comment:
    Manual Entry</t>
      </text>
    </comment>
    <comment ref="C9" authorId="5" shapeId="0" xr:uid="{03F1AF17-D54D-43CA-8B8F-AC983538D290}">
      <text>
        <t>[Threaded comment]
Your version of Excel allows you to read this threaded comment; however, any edits to it will get removed if the file is opened in a newer version of Excel. Learn more: https://go.microsoft.com/fwlink/?linkid=870924
Comment:
    Manual Entry</t>
      </text>
    </comment>
    <comment ref="D9" authorId="6" shapeId="0" xr:uid="{B7AAA865-0C30-4BDD-9336-4F233132435B}">
      <text>
        <t>[Threaded comment]
Your version of Excel allows you to read this threaded comment; however, any edits to it will get removed if the file is opened in a newer version of Excel. Learn more: https://go.microsoft.com/fwlink/?linkid=870924
Comment:
    Manual Entry</t>
      </text>
    </comment>
    <comment ref="F9" authorId="7" shapeId="0" xr:uid="{87E486DB-90F5-41BD-93FA-ABFD9B4CEF34}">
      <text>
        <t>[Threaded comment]
Your version of Excel allows you to read this threaded comment; however, any edits to it will get removed if the file is opened in a newer version of Excel. Learn more: https://go.microsoft.com/fwlink/?linkid=870924
Comment:
    Manual Entry</t>
      </text>
    </comment>
  </commentList>
</comments>
</file>

<file path=xl/sharedStrings.xml><?xml version="1.0" encoding="utf-8"?>
<sst xmlns="http://schemas.openxmlformats.org/spreadsheetml/2006/main" count="280" uniqueCount="117">
  <si>
    <t>Device</t>
  </si>
  <si>
    <t>Quantity</t>
  </si>
  <si>
    <t>Discharge Factor</t>
  </si>
  <si>
    <t>Check</t>
  </si>
  <si>
    <t>Unit Stand By Absorption (mA)</t>
  </si>
  <si>
    <t>Total Stand By Absorption (mA)</t>
  </si>
  <si>
    <t>Unit Alarm Absorption (mA)</t>
  </si>
  <si>
    <t>Total Alarm Absorption (mA)</t>
  </si>
  <si>
    <t>Hardware Type</t>
  </si>
  <si>
    <t>Device Type</t>
  </si>
  <si>
    <t>Smoke Sensor</t>
  </si>
  <si>
    <t>Conventional Zone Module</t>
  </si>
  <si>
    <t>Input Module</t>
  </si>
  <si>
    <t>IO Unit (Ix2 Ox1)</t>
  </si>
  <si>
    <t>IO Unit (Ix2)</t>
  </si>
  <si>
    <t>Output Module</t>
  </si>
  <si>
    <t>Wireless Gateway</t>
  </si>
  <si>
    <t>Detector</t>
  </si>
  <si>
    <t>Multi: Smoke and Thermal</t>
  </si>
  <si>
    <t>Multi: Smoke, Thermal and IR Sensor</t>
  </si>
  <si>
    <t xml:space="preserve">Thermal Sensor 58 deg C </t>
  </si>
  <si>
    <t>Thermal Sensor 78 deg C</t>
  </si>
  <si>
    <t>Thermal Sensor Rate-of-Rise</t>
  </si>
  <si>
    <t xml:space="preserve">Output Module 240V </t>
  </si>
  <si>
    <t>Module New Range E</t>
  </si>
  <si>
    <t xml:space="preserve">Module Old Range </t>
  </si>
  <si>
    <t>Wireless</t>
  </si>
  <si>
    <t>Mini Input Module</t>
  </si>
  <si>
    <t>Module Multiple I/O</t>
  </si>
  <si>
    <t>6 Output Relay</t>
  </si>
  <si>
    <t>6 Output Controlled</t>
  </si>
  <si>
    <t>6 Conventional Zones</t>
  </si>
  <si>
    <t>10 Input</t>
  </si>
  <si>
    <t>Manual Call Point</t>
  </si>
  <si>
    <t>Indoor MCP</t>
  </si>
  <si>
    <t>Outdoor MCP</t>
  </si>
  <si>
    <t>Audio Visual Devices</t>
  </si>
  <si>
    <t>Sounder Wall Mounted</t>
  </si>
  <si>
    <t>Sounder Strobe RED Wall Mounted</t>
  </si>
  <si>
    <t>Sounder Base</t>
  </si>
  <si>
    <t>Sounder Strobe WHITE Base O Calss</t>
  </si>
  <si>
    <t>Sounder Strobe RED Base</t>
  </si>
  <si>
    <t>Strobe Base C Class</t>
  </si>
  <si>
    <t>Sounder Strobe Base C Class High-Power HIGH Setup</t>
  </si>
  <si>
    <t>Sounder Strobe Base C Class High-Power LOW Setup</t>
  </si>
  <si>
    <t>Sounder Strobe Base C Class High-Power Legacy Setup</t>
  </si>
  <si>
    <t>Strobe Wall Mounted - VAD</t>
  </si>
  <si>
    <t>Individual Stand-by Current (mA)</t>
  </si>
  <si>
    <t>Individual Alarm Current (mA)</t>
  </si>
  <si>
    <t>Total Stand-by Current (mA)</t>
  </si>
  <si>
    <t>Total Alarm Current (mA)</t>
  </si>
  <si>
    <t>Totals (mA)</t>
  </si>
  <si>
    <r>
      <t xml:space="preserve">Display &amp; Main Board - </t>
    </r>
    <r>
      <rPr>
        <b/>
        <sz val="11"/>
        <color rgb="FFFF0000"/>
        <rFont val="Calibri"/>
        <family val="2"/>
        <scheme val="minor"/>
      </rPr>
      <t>FIXED VALUES</t>
    </r>
  </si>
  <si>
    <t>Step</t>
  </si>
  <si>
    <t>Tab</t>
  </si>
  <si>
    <t>Action</t>
  </si>
  <si>
    <t>Define the number of Devices present in your System, indicating it in column C near the respective device type.</t>
  </si>
  <si>
    <t>Wireless Detector</t>
  </si>
  <si>
    <t>Wireless MCP</t>
  </si>
  <si>
    <t>Wireles Sounder</t>
  </si>
  <si>
    <t>Wireless Sounder Strobe</t>
  </si>
  <si>
    <t>Wireless Input Otput Module</t>
  </si>
  <si>
    <t>Individual Address Occupancy</t>
  </si>
  <si>
    <t>Total Address Occupancy</t>
  </si>
  <si>
    <t>BATTERY CALCULATOR TOOL MORLEY PL-1000</t>
  </si>
  <si>
    <t>Alarm SND Out 1 (Max 250 mA)</t>
  </si>
  <si>
    <t>Alarm SND Out 2 (Max 250 mA)</t>
  </si>
  <si>
    <t>Total Stand-by and Alarm Currents</t>
  </si>
  <si>
    <t>PL-1000</t>
  </si>
  <si>
    <r>
      <t xml:space="preserve">Optional Loop Card PL-LIB01 - </t>
    </r>
    <r>
      <rPr>
        <b/>
        <sz val="11"/>
        <color rgb="FFFF0000"/>
        <rFont val="Calibri"/>
        <family val="2"/>
        <scheme val="minor"/>
      </rPr>
      <t>FIXED VALUES</t>
    </r>
  </si>
  <si>
    <t>Total Battery Capacity (A)</t>
  </si>
  <si>
    <t>Stand By (h) / Value in Ah</t>
  </si>
  <si>
    <t>Alarm Condition (h) / Value in Ah</t>
  </si>
  <si>
    <t>Loop 1 Field Devices</t>
  </si>
  <si>
    <t>Insert the number and Stand-by / Alarm values for any conventional devices connected to the panels SND Outputs respectively in the cells C7, D7 &amp; E7 and C9, D9 &amp; E9.</t>
  </si>
  <si>
    <t xml:space="preserve">Check cells D21 to verify that your system is inside the Panel Power Supply Limits. In case not, please reduce the device load. </t>
  </si>
  <si>
    <t xml:space="preserve">Check cells D26 to verify that your system is inside the Panel Battery Limits. In case not, please reduce the device load. </t>
  </si>
  <si>
    <t>Total Loop 1 Devices Installed (Max 159 Detectors + 159 I/O Modules)</t>
  </si>
  <si>
    <t>Total Loop 2 Devices Installed (Max 159 Detectors + 159 I/O Modules)</t>
  </si>
  <si>
    <t xml:space="preserve">Check cells G17 and G19 to verify that the maximum current in Alarm for each loop is inside the Panel Power Supply Limits. In case not, please reduce the device load. </t>
  </si>
  <si>
    <t>Loop 2 Field Devices</t>
  </si>
  <si>
    <t>Morley-IAS PL-1000</t>
  </si>
  <si>
    <t>Beam Detector</t>
  </si>
  <si>
    <t xml:space="preserve">Check cells C13 and C15 to verify that the maximum number of devices for each loop is inside the Loop Addresses Limits. In case not, please reduce the device quantity. </t>
  </si>
  <si>
    <t>Wireless Repeater</t>
  </si>
  <si>
    <t>High Sesitivity Smoke Detector</t>
  </si>
  <si>
    <t>Total System Absorption</t>
  </si>
  <si>
    <t>Total Loop 1 Audio Visual Loop Powered Devices in Alarm</t>
  </si>
  <si>
    <t>Total Loop 2 Audio Visual Loop Powered Devices in Alarm</t>
  </si>
  <si>
    <t>Total Loop 1 and Loop 2 Absorption</t>
  </si>
  <si>
    <t>Loop Length (m) max 1500</t>
  </si>
  <si>
    <t>The number of isolators in D1 will add up to the total loop resistance, thus limiting the maximum current that can be drawn.</t>
  </si>
  <si>
    <t># Isolators</t>
  </si>
  <si>
    <t>#Isolators</t>
  </si>
  <si>
    <t>Total Loop 1 Absorption</t>
  </si>
  <si>
    <t>Total Loop 2 Absorption</t>
  </si>
  <si>
    <r>
      <t>Loop Cable Section (mm</t>
    </r>
    <r>
      <rPr>
        <b/>
        <vertAlign val="superscript"/>
        <sz val="11"/>
        <color theme="0"/>
        <rFont val="Calibri"/>
        <family val="2"/>
        <scheme val="minor"/>
      </rPr>
      <t>2</t>
    </r>
    <r>
      <rPr>
        <b/>
        <sz val="11"/>
        <color theme="0"/>
        <rFont val="Calibri"/>
        <family val="2"/>
        <scheme val="minor"/>
      </rPr>
      <t>) max. 2x2.5</t>
    </r>
  </si>
  <si>
    <t>Select the Loop Cable Section in cell B2</t>
  </si>
  <si>
    <t>Insert the number of Isolators needed into cell D2</t>
  </si>
  <si>
    <t xml:space="preserve">Select the required loop length from the drop down menu in cell B1 </t>
  </si>
  <si>
    <t xml:space="preserve">Note: The Loop Calculator takes into account the worst case scenario when an open circuit occurs in the loop in panel proximity, forcing the last device on the loop tp be powered from the other end of the circuit. In case System Limits are exceeded, please increase the cable section and/or decrease the number of Devices/Isolators (*). </t>
  </si>
  <si>
    <t>(*) Number of Isolators must conform to the local regualtory framework</t>
  </si>
  <si>
    <t xml:space="preserve">Loop 1 </t>
  </si>
  <si>
    <t>Loop 2</t>
  </si>
  <si>
    <t>Cable Resistance</t>
  </si>
  <si>
    <t>Max Allowed Voltage Drop (V)</t>
  </si>
  <si>
    <t>Isolator resistance (Ohm)</t>
  </si>
  <si>
    <t>Battery capacity (Ah)</t>
  </si>
  <si>
    <t>LED current (mA)</t>
  </si>
  <si>
    <t>Number of LEDs max per loop</t>
  </si>
  <si>
    <t>Extra current Isolator activated (mA)</t>
  </si>
  <si>
    <t xml:space="preserve">Threshold Current In Panel for Loop 1 </t>
  </si>
  <si>
    <t>Threshold Current In Panel for Loop 2</t>
  </si>
  <si>
    <t>Cable resistance Override (Ohm)</t>
  </si>
  <si>
    <t>Max Allowed Current Loop 1</t>
  </si>
  <si>
    <t>Max Allowed Current Loop 2</t>
  </si>
  <si>
    <t>If the cable used is not standard, override the cable resistance in D1. If using a standard cable, leave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</si>
</sst>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6" x14ac:knownFonts="1">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b/>
      <sz val="16"/>
      <color theme="0"/>
      <name val="Calibri"/>
      <family val="2"/>
      <scheme val="minor"/>
    </font>
    <font>
      <b/>
      <sz val="11"/>
      <color theme="5"/>
      <name val="Calibri"/>
      <family val="2"/>
      <scheme val="minor"/>
    </font>
    <font>
      <b/>
      <i/>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14"/>
      <color theme="1"/>
      <name val="Calibri"/>
      <family val="2"/>
      <scheme val="minor"/>
    </font>
    <font>
      <sz val="11"/>
      <color theme="0"/>
      <name val="Calibri"/>
      <family val="2"/>
      <scheme val="minor"/>
    </font>
    <font>
      <sz val="11"/>
      <color rgb="FF3F3F76"/>
      <name val="Calibri"/>
      <family val="2"/>
      <scheme val="minor"/>
    </font>
    <font>
      <b/>
      <vertAlign val="superscript"/>
      <sz val="11"/>
      <color theme="0"/>
      <name val="Calibri"/>
      <family val="2"/>
      <scheme val="minor"/>
    </font>
    <font>
      <b/>
      <i/>
      <sz val="14"/>
      <color theme="0"/>
      <name val="Calibri"/>
      <family val="2"/>
      <scheme val="minor"/>
    </font>
    <fon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C99"/>
      </patternFill>
    </fill>
    <fill>
      <patternFill patternType="solid">
        <fgColor rgb="FFFF0000"/>
        <bgColor indexed="64"/>
      </patternFill>
    </fill>
    <fill>
      <patternFill patternType="solid">
        <fgColor rgb="FF00B050"/>
        <bgColor indexed="64"/>
      </patternFill>
    </fill>
    <fill>
      <patternFill patternType="solid">
        <fgColor theme="7"/>
        <bgColor indexed="64"/>
      </patternFill>
    </fill>
    <fill>
      <patternFill patternType="solid">
        <fgColor theme="7" tint="0.79998168889431442"/>
        <bgColor indexed="65"/>
      </patternFill>
    </fill>
  </fills>
  <borders count="3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diagonal/>
    </border>
  </borders>
  <cellStyleXfs count="3">
    <xf numFmtId="0" fontId="0" fillId="0" borderId="0"/>
    <xf numFmtId="0" fontId="12" fillId="10" borderId="30" applyNumberFormat="0" applyAlignment="0" applyProtection="0"/>
    <xf numFmtId="0" fontId="15" fillId="14" borderId="0" applyNumberFormat="0" applyBorder="0" applyAlignment="0" applyProtection="0"/>
  </cellStyleXfs>
  <cellXfs count="130">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xf>
    <xf numFmtId="0" fontId="2" fillId="0" borderId="0" xfId="0" applyFont="1" applyFill="1"/>
    <xf numFmtId="0" fontId="2" fillId="0" borderId="0" xfId="0" applyFont="1" applyFill="1" applyAlignment="1">
      <alignment horizontal="center"/>
    </xf>
    <xf numFmtId="164" fontId="2" fillId="0" borderId="0" xfId="0" applyNumberFormat="1" applyFont="1" applyFill="1"/>
    <xf numFmtId="0" fontId="2" fillId="4" borderId="0" xfId="0" applyFont="1" applyFill="1"/>
    <xf numFmtId="0" fontId="1" fillId="4" borderId="0" xfId="0" applyFont="1" applyFill="1"/>
    <xf numFmtId="0" fontId="1" fillId="4" borderId="0" xfId="0" applyFont="1" applyFill="1" applyAlignment="1">
      <alignment vertical="center"/>
    </xf>
    <xf numFmtId="0" fontId="0" fillId="0" borderId="0" xfId="0" applyAlignment="1">
      <alignment vertical="center"/>
    </xf>
    <xf numFmtId="0" fontId="0" fillId="4" borderId="0" xfId="0" applyFill="1"/>
    <xf numFmtId="0" fontId="0" fillId="4" borderId="0" xfId="0" applyFill="1" applyAlignment="1">
      <alignment vertical="center"/>
    </xf>
    <xf numFmtId="0" fontId="0" fillId="4" borderId="0" xfId="0" applyFill="1" applyBorder="1"/>
    <xf numFmtId="0" fontId="2" fillId="5" borderId="4" xfId="0" applyFont="1" applyFill="1" applyBorder="1"/>
    <xf numFmtId="0" fontId="2" fillId="4" borderId="5" xfId="0" applyFont="1" applyFill="1" applyBorder="1"/>
    <xf numFmtId="0" fontId="2" fillId="5" borderId="7" xfId="0" applyFont="1" applyFill="1" applyBorder="1"/>
    <xf numFmtId="0" fontId="0" fillId="0" borderId="2" xfId="0" applyBorder="1" applyAlignment="1">
      <alignment horizontal="center"/>
    </xf>
    <xf numFmtId="0" fontId="0" fillId="4" borderId="2" xfId="0" applyFill="1" applyBorder="1"/>
    <xf numFmtId="0" fontId="0" fillId="0" borderId="8" xfId="0" applyBorder="1" applyAlignment="1">
      <alignment horizontal="center"/>
    </xf>
    <xf numFmtId="0" fontId="0" fillId="4" borderId="8" xfId="0" applyFill="1" applyBorder="1"/>
    <xf numFmtId="0" fontId="0" fillId="0" borderId="1" xfId="0" applyBorder="1"/>
    <xf numFmtId="0" fontId="2" fillId="4" borderId="2" xfId="0" applyFont="1" applyFill="1" applyBorder="1"/>
    <xf numFmtId="0" fontId="2" fillId="4" borderId="0" xfId="0" applyFont="1" applyFill="1" applyBorder="1"/>
    <xf numFmtId="0" fontId="2" fillId="5"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6" fillId="5" borderId="8" xfId="0" applyFont="1" applyFill="1" applyBorder="1"/>
    <xf numFmtId="2" fontId="0" fillId="0" borderId="0" xfId="0" applyNumberFormat="1"/>
    <xf numFmtId="2" fontId="2" fillId="3" borderId="8" xfId="0" applyNumberFormat="1" applyFont="1" applyFill="1" applyBorder="1"/>
    <xf numFmtId="2" fontId="0" fillId="0" borderId="2" xfId="0" applyNumberFormat="1" applyBorder="1"/>
    <xf numFmtId="2" fontId="5" fillId="4" borderId="0" xfId="0" applyNumberFormat="1" applyFont="1" applyFill="1" applyAlignment="1">
      <alignment horizontal="center"/>
    </xf>
    <xf numFmtId="2" fontId="1" fillId="4" borderId="0" xfId="0" applyNumberFormat="1" applyFont="1" applyFill="1"/>
    <xf numFmtId="0" fontId="0" fillId="5" borderId="7" xfId="0" applyFill="1" applyBorder="1"/>
    <xf numFmtId="2" fontId="0" fillId="2" borderId="8" xfId="0" applyNumberFormat="1" applyFill="1" applyBorder="1"/>
    <xf numFmtId="2" fontId="0" fillId="3" borderId="8" xfId="0" applyNumberFormat="1" applyFill="1" applyBorder="1"/>
    <xf numFmtId="2" fontId="0" fillId="3" borderId="9" xfId="0" applyNumberFormat="1" applyFill="1" applyBorder="1"/>
    <xf numFmtId="2" fontId="0" fillId="6" borderId="8" xfId="0" applyNumberFormat="1" applyFill="1" applyBorder="1"/>
    <xf numFmtId="2" fontId="0" fillId="2" borderId="8" xfId="0" applyNumberFormat="1" applyFont="1" applyFill="1" applyBorder="1"/>
    <xf numFmtId="2" fontId="5" fillId="4" borderId="0" xfId="0" applyNumberFormat="1" applyFont="1" applyFill="1" applyAlignment="1">
      <alignment horizontal="center" vertical="center"/>
    </xf>
    <xf numFmtId="0" fontId="1" fillId="4" borderId="0" xfId="0" applyFont="1" applyFill="1" applyAlignment="1">
      <alignment horizontal="center" vertical="center"/>
    </xf>
    <xf numFmtId="2" fontId="7" fillId="2" borderId="5" xfId="0" applyNumberFormat="1" applyFont="1" applyFill="1" applyBorder="1"/>
    <xf numFmtId="2" fontId="7" fillId="3" borderId="6" xfId="0" applyNumberFormat="1" applyFont="1" applyFill="1" applyBorder="1"/>
    <xf numFmtId="0" fontId="0" fillId="0" borderId="16" xfId="0" applyBorder="1" applyAlignment="1">
      <alignment horizontal="left"/>
    </xf>
    <xf numFmtId="0" fontId="0" fillId="0" borderId="18" xfId="0" applyBorder="1" applyAlignment="1">
      <alignment horizontal="left"/>
    </xf>
    <xf numFmtId="2" fontId="0" fillId="0" borderId="15" xfId="0" applyNumberFormat="1" applyFill="1" applyBorder="1" applyAlignment="1">
      <alignment horizontal="right"/>
    </xf>
    <xf numFmtId="2" fontId="0" fillId="0" borderId="17" xfId="0" applyNumberFormat="1" applyFill="1" applyBorder="1" applyAlignment="1">
      <alignment horizontal="right"/>
    </xf>
    <xf numFmtId="2" fontId="0" fillId="0" borderId="17" xfId="0" applyNumberFormat="1" applyBorder="1" applyAlignment="1">
      <alignment horizontal="right"/>
    </xf>
    <xf numFmtId="0" fontId="0" fillId="0" borderId="14" xfId="0" applyBorder="1"/>
    <xf numFmtId="0" fontId="0" fillId="0" borderId="4" xfId="0" applyBorder="1"/>
    <xf numFmtId="2" fontId="0" fillId="0" borderId="20" xfId="0" applyNumberFormat="1" applyBorder="1" applyAlignment="1">
      <alignment horizontal="right"/>
    </xf>
    <xf numFmtId="0" fontId="0" fillId="0" borderId="21" xfId="0" applyBorder="1"/>
    <xf numFmtId="0" fontId="0" fillId="0" borderId="3" xfId="0" applyBorder="1"/>
    <xf numFmtId="0" fontId="9" fillId="0" borderId="0" xfId="0" applyFont="1" applyAlignment="1">
      <alignment vertical="center" wrapText="1"/>
    </xf>
    <xf numFmtId="0" fontId="0" fillId="0" borderId="17" xfId="0" applyBorder="1" applyAlignment="1">
      <alignment horizontal="left"/>
    </xf>
    <xf numFmtId="0" fontId="0" fillId="0" borderId="19" xfId="0"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left"/>
    </xf>
    <xf numFmtId="0" fontId="2" fillId="5" borderId="8" xfId="0" applyFont="1" applyFill="1" applyBorder="1" applyAlignment="1">
      <alignment horizontal="center"/>
    </xf>
    <xf numFmtId="9" fontId="2" fillId="5" borderId="8" xfId="0" applyNumberFormat="1" applyFont="1" applyFill="1" applyBorder="1" applyAlignment="1">
      <alignment horizontal="center"/>
    </xf>
    <xf numFmtId="0" fontId="2" fillId="5" borderId="11" xfId="0" applyFont="1" applyFill="1" applyBorder="1" applyAlignment="1">
      <alignment horizontal="center" vertical="center" wrapText="1"/>
    </xf>
    <xf numFmtId="0" fontId="0" fillId="0" borderId="14" xfId="0" applyBorder="1" applyAlignment="1">
      <alignment horizontal="left"/>
    </xf>
    <xf numFmtId="0" fontId="0" fillId="0" borderId="15" xfId="0" applyBorder="1" applyAlignment="1">
      <alignment horizontal="left"/>
    </xf>
    <xf numFmtId="0" fontId="0" fillId="0" borderId="17" xfId="0" applyBorder="1" applyAlignment="1">
      <alignment horizontal="center"/>
    </xf>
    <xf numFmtId="2" fontId="0" fillId="0" borderId="6" xfId="0" applyNumberFormat="1" applyBorder="1" applyAlignment="1">
      <alignment horizontal="right"/>
    </xf>
    <xf numFmtId="2" fontId="0" fillId="0" borderId="9" xfId="0" applyNumberFormat="1" applyBorder="1" applyAlignment="1">
      <alignment horizontal="right"/>
    </xf>
    <xf numFmtId="2" fontId="0" fillId="0" borderId="9" xfId="0" applyNumberFormat="1" applyFill="1" applyBorder="1" applyAlignment="1">
      <alignment horizontal="right"/>
    </xf>
    <xf numFmtId="2" fontId="0" fillId="0" borderId="23" xfId="0" applyNumberFormat="1" applyBorder="1" applyAlignment="1">
      <alignment horizontal="right"/>
    </xf>
    <xf numFmtId="0" fontId="0" fillId="0" borderId="22" xfId="0" applyBorder="1" applyAlignment="1">
      <alignment horizontal="center"/>
    </xf>
    <xf numFmtId="0" fontId="8" fillId="5" borderId="13" xfId="0" applyFont="1" applyFill="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4" xfId="0" applyBorder="1" applyAlignment="1">
      <alignment horizontal="center"/>
    </xf>
    <xf numFmtId="0" fontId="0" fillId="0" borderId="19" xfId="0" applyBorder="1" applyAlignment="1">
      <alignment horizontal="center"/>
    </xf>
    <xf numFmtId="0" fontId="2" fillId="5" borderId="25" xfId="0" applyFont="1" applyFill="1" applyBorder="1" applyAlignment="1">
      <alignment horizontal="center" vertical="center" wrapText="1"/>
    </xf>
    <xf numFmtId="2" fontId="2" fillId="2" borderId="25" xfId="0" applyNumberFormat="1" applyFont="1" applyFill="1" applyBorder="1" applyAlignment="1">
      <alignment horizontal="center" vertical="center" wrapText="1"/>
    </xf>
    <xf numFmtId="2" fontId="2" fillId="3" borderId="25" xfId="0" applyNumberFormat="1" applyFont="1" applyFill="1" applyBorder="1" applyAlignment="1">
      <alignment horizontal="center" vertical="center" wrapText="1"/>
    </xf>
    <xf numFmtId="0" fontId="0" fillId="0" borderId="29" xfId="0" applyBorder="1" applyAlignment="1">
      <alignment horizontal="center"/>
    </xf>
    <xf numFmtId="0" fontId="0" fillId="0" borderId="15" xfId="0" applyBorder="1" applyAlignment="1">
      <alignment horizontal="center"/>
    </xf>
    <xf numFmtId="0" fontId="8" fillId="2"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8" borderId="13" xfId="0" applyFont="1" applyFill="1" applyBorder="1" applyAlignment="1">
      <alignment horizontal="center" vertical="center" wrapText="1"/>
    </xf>
    <xf numFmtId="1" fontId="2" fillId="8" borderId="25" xfId="0" applyNumberFormat="1" applyFont="1" applyFill="1" applyBorder="1" applyAlignment="1">
      <alignment horizontal="center" vertical="center" wrapText="1"/>
    </xf>
    <xf numFmtId="1" fontId="2" fillId="5" borderId="8" xfId="0" applyNumberFormat="1" applyFont="1" applyFill="1" applyBorder="1" applyAlignment="1">
      <alignment horizontal="center"/>
    </xf>
    <xf numFmtId="0" fontId="1" fillId="4" borderId="7" xfId="0" applyFont="1" applyFill="1" applyBorder="1"/>
    <xf numFmtId="2" fontId="11" fillId="4" borderId="8" xfId="0" applyNumberFormat="1" applyFont="1" applyFill="1" applyBorder="1"/>
    <xf numFmtId="2" fontId="1" fillId="4" borderId="8" xfId="0" applyNumberFormat="1" applyFont="1" applyFill="1" applyBorder="1"/>
    <xf numFmtId="2" fontId="7" fillId="2" borderId="8" xfId="0" applyNumberFormat="1" applyFont="1" applyFill="1" applyBorder="1"/>
    <xf numFmtId="2" fontId="7" fillId="3" borderId="9" xfId="0" applyNumberFormat="1" applyFont="1" applyFill="1" applyBorder="1"/>
    <xf numFmtId="2" fontId="1" fillId="4" borderId="0" xfId="0" applyNumberFormat="1" applyFont="1" applyFill="1" applyAlignment="1"/>
    <xf numFmtId="4" fontId="1" fillId="4" borderId="0" xfId="0" applyNumberFormat="1" applyFont="1" applyFill="1" applyAlignment="1"/>
    <xf numFmtId="2" fontId="7" fillId="3" borderId="8" xfId="0" applyNumberFormat="1" applyFont="1" applyFill="1" applyBorder="1"/>
    <xf numFmtId="0" fontId="0" fillId="0" borderId="22" xfId="0" applyNumberFormat="1" applyBorder="1" applyAlignment="1">
      <alignment horizontal="center"/>
    </xf>
    <xf numFmtId="2" fontId="0" fillId="0" borderId="16" xfId="0" applyNumberFormat="1" applyFill="1" applyBorder="1" applyAlignment="1">
      <alignment horizontal="right"/>
    </xf>
    <xf numFmtId="2" fontId="0" fillId="0" borderId="16" xfId="0" applyNumberFormat="1" applyBorder="1" applyAlignment="1">
      <alignment horizontal="right"/>
    </xf>
    <xf numFmtId="2" fontId="1" fillId="4" borderId="0" xfId="0" applyNumberFormat="1" applyFont="1" applyFill="1" applyAlignment="1">
      <alignment horizontal="center"/>
    </xf>
    <xf numFmtId="0" fontId="1" fillId="4" borderId="0" xfId="0" applyFont="1" applyFill="1" applyAlignment="1">
      <alignment horizontal="center"/>
    </xf>
    <xf numFmtId="165" fontId="0" fillId="0" borderId="0" xfId="0" applyNumberFormat="1"/>
    <xf numFmtId="165" fontId="1" fillId="4" borderId="0" xfId="0" applyNumberFormat="1" applyFont="1" applyFill="1" applyAlignment="1">
      <alignment horizontal="center"/>
    </xf>
    <xf numFmtId="0" fontId="2" fillId="13" borderId="10" xfId="1" applyFont="1" applyFill="1" applyBorder="1" applyAlignment="1">
      <alignment horizontal="center"/>
    </xf>
    <xf numFmtId="0" fontId="6" fillId="9" borderId="13" xfId="0" applyFont="1" applyFill="1" applyBorder="1" applyAlignment="1">
      <alignment wrapText="1"/>
    </xf>
    <xf numFmtId="0" fontId="14" fillId="11" borderId="0" xfId="0" applyFont="1" applyFill="1"/>
    <xf numFmtId="0" fontId="2" fillId="0" borderId="22" xfId="0" applyFont="1" applyBorder="1" applyAlignment="1">
      <alignment horizontal="center"/>
    </xf>
    <xf numFmtId="2" fontId="2" fillId="12" borderId="22" xfId="0" applyNumberFormat="1" applyFont="1" applyFill="1" applyBorder="1" applyAlignment="1">
      <alignment horizontal="center"/>
    </xf>
    <xf numFmtId="0" fontId="2" fillId="5" borderId="1" xfId="0" applyFont="1" applyFill="1" applyBorder="1"/>
    <xf numFmtId="0" fontId="0" fillId="0" borderId="23" xfId="0" applyBorder="1" applyAlignment="1">
      <alignment horizontal="center"/>
    </xf>
    <xf numFmtId="0" fontId="0" fillId="0" borderId="6" xfId="0" applyBorder="1" applyAlignment="1">
      <alignment horizontal="center"/>
    </xf>
    <xf numFmtId="0" fontId="0" fillId="0" borderId="31" xfId="0" applyBorder="1"/>
    <xf numFmtId="0" fontId="0" fillId="0" borderId="29" xfId="0" applyBorder="1"/>
    <xf numFmtId="2" fontId="2" fillId="0" borderId="0" xfId="0" applyNumberFormat="1" applyFont="1"/>
    <xf numFmtId="0" fontId="15" fillId="14" borderId="0" xfId="2" applyAlignment="1">
      <alignment horizontal="center"/>
    </xf>
    <xf numFmtId="0" fontId="4" fillId="7" borderId="10" xfId="0" applyFont="1" applyFill="1" applyBorder="1" applyAlignment="1">
      <alignment horizontal="center"/>
    </xf>
    <xf numFmtId="0" fontId="4" fillId="7" borderId="11" xfId="0" applyFont="1" applyFill="1" applyBorder="1" applyAlignment="1">
      <alignment horizontal="center"/>
    </xf>
    <xf numFmtId="0" fontId="4" fillId="7" borderId="12" xfId="0" applyFont="1" applyFill="1" applyBorder="1" applyAlignment="1">
      <alignment horizontal="center"/>
    </xf>
    <xf numFmtId="0" fontId="2" fillId="0" borderId="22" xfId="0" applyFont="1" applyBorder="1" applyAlignment="1">
      <alignment horizontal="center"/>
    </xf>
    <xf numFmtId="2" fontId="4" fillId="4" borderId="2" xfId="0" applyNumberFormat="1" applyFont="1" applyFill="1" applyBorder="1" applyAlignment="1">
      <alignment horizontal="center" vertical="center"/>
    </xf>
    <xf numFmtId="0" fontId="3" fillId="4" borderId="0" xfId="0" applyFont="1" applyFill="1" applyAlignment="1">
      <alignment horizontal="center"/>
    </xf>
    <xf numFmtId="2" fontId="2" fillId="6" borderId="8" xfId="0" applyNumberFormat="1" applyFont="1" applyFill="1" applyBorder="1" applyAlignment="1">
      <alignment horizontal="center"/>
    </xf>
    <xf numFmtId="2" fontId="2" fillId="6" borderId="9" xfId="0" applyNumberFormat="1" applyFont="1" applyFill="1" applyBorder="1" applyAlignment="1">
      <alignment horizontal="center"/>
    </xf>
    <xf numFmtId="2" fontId="1" fillId="4" borderId="0" xfId="0" applyNumberFormat="1" applyFont="1" applyFill="1" applyAlignment="1">
      <alignment horizontal="center"/>
    </xf>
    <xf numFmtId="0" fontId="10" fillId="0" borderId="0" xfId="0" applyFont="1" applyBorder="1"/>
    <xf numFmtId="0" fontId="10" fillId="0" borderId="0" xfId="0" applyFont="1"/>
    <xf numFmtId="0" fontId="15" fillId="14" borderId="13" xfId="2" applyBorder="1" applyAlignment="1">
      <alignment horizontal="center"/>
    </xf>
    <xf numFmtId="1" fontId="2" fillId="13" borderId="13" xfId="1" applyNumberFormat="1" applyFont="1" applyFill="1" applyBorder="1" applyAlignment="1">
      <alignment horizontal="center"/>
    </xf>
    <xf numFmtId="0" fontId="11" fillId="0" borderId="0" xfId="0" applyFont="1"/>
    <xf numFmtId="0" fontId="11" fillId="0" borderId="0" xfId="0" applyFont="1" applyAlignment="1">
      <alignment horizontal="center"/>
    </xf>
  </cellXfs>
  <cellStyles count="3">
    <cellStyle name="20% - Accent4" xfId="2" builtinId="42"/>
    <cellStyle name="Input" xfId="1" builtinId="20"/>
    <cellStyle name="Normal" xfId="0" builtinId="0"/>
  </cellStyles>
  <dxfs count="43">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alignment horizontal="center" vertical="bottom" textRotation="0" wrapText="0" indent="0" justifyLastLine="0" shrinkToFit="0" readingOrder="0"/>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b/>
        <i val="0"/>
        <color theme="0"/>
      </font>
      <fill>
        <patternFill>
          <bgColor rgb="FF00B050"/>
        </patternFill>
      </fill>
    </dxf>
    <dxf>
      <font>
        <b/>
        <i val="0"/>
        <color theme="0"/>
      </font>
      <fill>
        <patternFill>
          <bgColor rgb="FFFF0000"/>
        </patternFill>
      </fill>
    </dxf>
    <dxf>
      <font>
        <color rgb="FF9C0006"/>
      </font>
      <fill>
        <patternFill>
          <bgColor rgb="FFFFC7CE"/>
        </patternFill>
      </fill>
    </dxf>
    <dxf>
      <font>
        <b/>
        <i val="0"/>
        <color theme="0"/>
      </font>
      <fill>
        <patternFill>
          <bgColor rgb="FF00B050"/>
        </patternFill>
      </fill>
    </dxf>
    <dxf>
      <font>
        <b/>
        <i val="0"/>
        <color theme="0"/>
      </font>
      <fill>
        <patternFill>
          <bgColor rgb="FFFF0000"/>
        </patternFill>
      </fill>
    </dxf>
    <dxf>
      <border diagonalUp="0" diagonalDown="0">
        <left style="thin">
          <color indexed="64"/>
        </left>
        <right/>
        <top/>
        <bottom style="thin">
          <color indexed="64"/>
        </bottom>
        <vertical/>
        <horizontal/>
      </border>
    </dxf>
    <dxf>
      <border diagonalUp="0" diagonalDown="0">
        <left style="medium">
          <color indexed="64"/>
        </left>
        <right style="thin">
          <color indexed="64"/>
        </right>
        <top/>
        <bottom style="thin">
          <color indexed="64"/>
        </bottom>
        <vertical/>
        <horizontal/>
      </border>
    </dxf>
    <dxf>
      <numFmt numFmtId="2" formatCode="0.00"/>
      <alignment horizontal="righ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numFmt numFmtId="2" formatCode="0.00"/>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11"/>
        <color auto="1"/>
        <name val="Calibri"/>
        <family val="2"/>
        <scheme val="minor"/>
      </font>
    </dxf>
    <dxf>
      <border diagonalUp="0" diagonalDown="0">
        <left style="thin">
          <color indexed="64"/>
        </left>
        <right/>
        <top/>
        <bottom style="thin">
          <color indexed="64"/>
        </bottom>
        <vertical/>
        <horizontal/>
      </border>
    </dxf>
    <dxf>
      <border diagonalUp="0" diagonalDown="0">
        <left style="medium">
          <color indexed="64"/>
        </left>
        <right style="thin">
          <color indexed="64"/>
        </right>
        <top/>
        <bottom style="thin">
          <color indexed="64"/>
        </bottom>
        <vertical/>
        <horizontal/>
      </border>
    </dxf>
    <dxf>
      <numFmt numFmtId="2" formatCode="0.00"/>
      <alignment horizontal="righ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numFmt numFmtId="2" formatCode="0.00"/>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11"/>
        <color auto="1"/>
        <name val="Calibri"/>
        <family val="2"/>
        <scheme val="minor"/>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ntonio" id="{08250C4C-BCE4-46A5-8DCF-2F4A66C656A2}" userId="S::antonio.esposito@notifier.it::003589b4-d9d5-4334-a2f2-81533b664bb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00187-912E-48E4-88EA-ECE44089A4AE}" name="Table13" displayName="Table13" ref="A2:C18" totalsRowShown="0" headerRowDxfId="42" dataDxfId="0" tableBorderDxfId="41">
  <autoFilter ref="A2:C18" xr:uid="{84900187-912E-48E4-88EA-ECE44089A4AE}">
    <filterColumn colId="0" hiddenButton="1"/>
    <filterColumn colId="1" hiddenButton="1"/>
    <filterColumn colId="2" hiddenButton="1"/>
  </autoFilter>
  <tableColumns count="3">
    <tableColumn id="1" xr3:uid="{C74570EB-0134-4DAC-8363-AEAB44508AA9}" name="Step" dataDxfId="3"/>
    <tableColumn id="2" xr3:uid="{30DB8B58-56A9-4449-8A38-035FB36AF4B6}" name="Tab" dataDxfId="2"/>
    <tableColumn id="3" xr3:uid="{8893E8C5-30B0-4B44-9A13-E90A78C1A839}" name="Action" dataDxfId="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2977983-54B4-4C41-9ABE-121161FA1532}" name="Table3" displayName="Table3" ref="A3:I47" totalsRowShown="0" headerRowDxfId="40" headerRowBorderDxfId="39" tableBorderDxfId="38">
  <autoFilter ref="A3:I47" xr:uid="{32977983-54B4-4C41-9ABE-121161FA15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A47C7FF-5483-4FC1-A4A7-28FF70AC1721}" name="Hardware Type" dataDxfId="37"/>
    <tableColumn id="2" xr3:uid="{CBE6B9E2-C2C4-4E43-9D79-F660C2A7613D}" name="Device Type" dataDxfId="36"/>
    <tableColumn id="3" xr3:uid="{BFAA0CDE-8D6E-4EBF-9F1F-CEF9AAE19F83}" name="Quantity" dataDxfId="35"/>
    <tableColumn id="8" xr3:uid="{5BFE6E92-09C2-425B-91CE-5F4A2A76F8D8}" name="Individual Address Occupancy" dataDxfId="34"/>
    <tableColumn id="9" xr3:uid="{D9EBA15F-D6FB-4688-8521-B4F915832153}" name="Total Address Occupancy" dataDxfId="33">
      <calculatedColumnFormula>Table3[[#This Row],[Quantity]]*Table3[[#This Row],[Individual Address Occupancy]]</calculatedColumnFormula>
    </tableColumn>
    <tableColumn id="4" xr3:uid="{37DDF90E-215D-465F-A541-2D953AFE5C2C}" name="Individual Stand-by Current (mA)" dataDxfId="32"/>
    <tableColumn id="5" xr3:uid="{DD16DEF9-82DE-4BFE-98D2-71B51FCE9CB7}" name="Individual Alarm Current (mA)" dataDxfId="31"/>
    <tableColumn id="6" xr3:uid="{F0C06E82-9C08-4110-9324-20B06FF40B7D}" name="Total Stand-by Current (mA)" dataDxfId="30">
      <calculatedColumnFormula>C4*F4</calculatedColumnFormula>
    </tableColumn>
    <tableColumn id="7" xr3:uid="{CE66A831-D4FB-4197-9647-C032888CEFB2}" name="Total Alarm Current (mA)" dataDxfId="29">
      <calculatedColumnFormula>C4*G4</calculatedColumnFormula>
    </tableColumn>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F3CB5-3666-4670-8EF0-BCF834FD9C90}" name="Table32" displayName="Table32" ref="A3:I47" totalsRowShown="0" headerRowDxfId="28" headerRowBorderDxfId="27" tableBorderDxfId="26">
  <autoFilter ref="A3:I47" xr:uid="{32977983-54B4-4C41-9ABE-121161FA15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D12E6D-2E97-40F3-A5EC-93E7F12D728C}" name="Hardware Type" dataDxfId="25"/>
    <tableColumn id="2" xr3:uid="{29DED224-1A48-49CD-B25D-100D782D7C8D}" name="Device Type" dataDxfId="24"/>
    <tableColumn id="3" xr3:uid="{6D10CAA9-3B8F-4808-93AB-7CACB01A63FC}" name="Quantity" dataDxfId="23"/>
    <tableColumn id="8" xr3:uid="{A250B1D4-D87B-42F1-AE9A-1159BD7FE254}" name="Individual Address Occupancy" dataDxfId="22"/>
    <tableColumn id="9" xr3:uid="{309FFD6F-4090-4ED9-BE56-690034466D40}" name="Total Address Occupancy" dataDxfId="21">
      <calculatedColumnFormula>Table32[[#This Row],[Quantity]]*Table32[[#This Row],[Individual Address Occupancy]]</calculatedColumnFormula>
    </tableColumn>
    <tableColumn id="4" xr3:uid="{761197BF-566F-4B94-ADDF-AC41FD034453}" name="Individual Stand-by Current (mA)" dataDxfId="20"/>
    <tableColumn id="5" xr3:uid="{25D0104D-C15D-45A7-A051-2A9DBE24BA1B}" name="Individual Alarm Current (mA)" dataDxfId="19"/>
    <tableColumn id="6" xr3:uid="{420532D9-3DE7-4A9F-883C-A19633AD87F5}" name="Total Stand-by Current (mA)" dataDxfId="18">
      <calculatedColumnFormula>C4*F4</calculatedColumnFormula>
    </tableColumn>
    <tableColumn id="7" xr3:uid="{C8A5E0F8-8A7C-4E7A-AD5E-DCABC6122C60}" name="Total Alarm Current (mA)" dataDxfId="17">
      <calculatedColumnFormula>C4*G4</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 dT="2022-10-03T14:49:34.80" personId="{08250C4C-BCE4-46A5-8DCF-2F4A66C656A2}" id="{6AF0AD4B-CAE9-469B-9619-787810A3919A}">
    <text>Includes absorbtion of buzzer  and alarm led both on and 5 Point Detector Contemporary in Alarm Condition.</text>
  </threadedComment>
  <threadedComment ref="C5" dT="2022-06-19T10:53:49.42" personId="{08250C4C-BCE4-46A5-8DCF-2F4A66C656A2}" id="{DC1F1F6E-DA82-4BDA-A5B4-029BF4445165}">
    <text>Manual Entry - Max 1 Card</text>
  </threadedComment>
  <threadedComment ref="C7" dT="2022-06-19T10:53:49.42" personId="{08250C4C-BCE4-46A5-8DCF-2F4A66C656A2}" id="{E0A96492-3C7A-4489-8F1C-BAA0322AA950}">
    <text>Manual Entry</text>
  </threadedComment>
  <threadedComment ref="D7" dT="2022-06-19T09:12:44.35" personId="{08250C4C-BCE4-46A5-8DCF-2F4A66C656A2}" id="{09905A77-6E02-4C9C-A3D3-07D35BDBBF27}">
    <text>Manual Entry</text>
  </threadedComment>
  <threadedComment ref="F7" dT="2022-06-19T09:13:14.82" personId="{08250C4C-BCE4-46A5-8DCF-2F4A66C656A2}" id="{A64631C8-7C86-4649-947A-3091A04AA023}">
    <text>Manual Entry</text>
  </threadedComment>
  <threadedComment ref="C9" dT="2022-06-19T10:53:49.42" personId="{08250C4C-BCE4-46A5-8DCF-2F4A66C656A2}" id="{03F1AF17-D54D-43CA-8B8F-AC983538D290}">
    <text>Manual Entry</text>
  </threadedComment>
  <threadedComment ref="D9" dT="2022-06-19T09:12:44.35" personId="{08250C4C-BCE4-46A5-8DCF-2F4A66C656A2}" id="{B7AAA865-0C30-4BDD-9336-4F233132435B}">
    <text>Manual Entry</text>
  </threadedComment>
  <threadedComment ref="F9" dT="2022-06-19T09:13:14.82" personId="{08250C4C-BCE4-46A5-8DCF-2F4A66C656A2}" id="{87E486DB-90F5-41BD-93FA-ABFD9B4CEF34}">
    <text>Manual Entry</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2D1A-FA78-4A1D-897F-D067AF07245A}">
  <dimension ref="A1:C22"/>
  <sheetViews>
    <sheetView tabSelected="1" zoomScale="85" zoomScaleNormal="85" workbookViewId="0">
      <selection sqref="A1:C1"/>
    </sheetView>
  </sheetViews>
  <sheetFormatPr defaultRowHeight="15" x14ac:dyDescent="0.25"/>
  <cols>
    <col min="1" max="1" width="8.7109375" style="3"/>
    <col min="2" max="2" width="24" bestFit="1" customWidth="1"/>
    <col min="3" max="3" width="192.5703125" bestFit="1" customWidth="1"/>
  </cols>
  <sheetData>
    <row r="1" spans="1:3" ht="21.75" thickBot="1" x14ac:dyDescent="0.4">
      <c r="A1" s="115" t="s">
        <v>81</v>
      </c>
      <c r="B1" s="116"/>
      <c r="C1" s="117"/>
    </row>
    <row r="2" spans="1:3" ht="18.75" x14ac:dyDescent="0.3">
      <c r="A2" s="58" t="s">
        <v>53</v>
      </c>
      <c r="B2" s="58" t="s">
        <v>54</v>
      </c>
      <c r="C2" s="59" t="s">
        <v>55</v>
      </c>
    </row>
    <row r="3" spans="1:3" ht="18.75" x14ac:dyDescent="0.3">
      <c r="A3" s="58">
        <v>1</v>
      </c>
      <c r="B3" s="124" t="s">
        <v>73</v>
      </c>
      <c r="C3" s="124" t="s">
        <v>56</v>
      </c>
    </row>
    <row r="4" spans="1:3" ht="18.75" x14ac:dyDescent="0.3">
      <c r="A4" s="58">
        <f>A3+1</f>
        <v>2</v>
      </c>
      <c r="B4" s="124" t="s">
        <v>73</v>
      </c>
      <c r="C4" s="124" t="s">
        <v>98</v>
      </c>
    </row>
    <row r="5" spans="1:3" ht="18.75" x14ac:dyDescent="0.3">
      <c r="A5" s="58">
        <f t="shared" ref="A5:A18" si="0">A4+1</f>
        <v>3</v>
      </c>
      <c r="B5" s="124" t="s">
        <v>73</v>
      </c>
      <c r="C5" s="124" t="s">
        <v>99</v>
      </c>
    </row>
    <row r="6" spans="1:3" ht="18.75" x14ac:dyDescent="0.3">
      <c r="A6" s="58">
        <f t="shared" si="0"/>
        <v>4</v>
      </c>
      <c r="B6" s="124" t="s">
        <v>73</v>
      </c>
      <c r="C6" s="124" t="s">
        <v>97</v>
      </c>
    </row>
    <row r="7" spans="1:3" ht="18.75" x14ac:dyDescent="0.3">
      <c r="A7" s="58">
        <f t="shared" si="0"/>
        <v>5</v>
      </c>
      <c r="B7" s="124" t="s">
        <v>73</v>
      </c>
      <c r="C7" s="125" t="s">
        <v>116</v>
      </c>
    </row>
    <row r="8" spans="1:3" ht="18.75" x14ac:dyDescent="0.3">
      <c r="A8" s="58">
        <f t="shared" si="0"/>
        <v>6</v>
      </c>
      <c r="B8" s="124" t="s">
        <v>80</v>
      </c>
      <c r="C8" s="124" t="s">
        <v>56</v>
      </c>
    </row>
    <row r="9" spans="1:3" ht="18.75" x14ac:dyDescent="0.3">
      <c r="A9" s="58">
        <f t="shared" si="0"/>
        <v>7</v>
      </c>
      <c r="B9" s="124" t="s">
        <v>80</v>
      </c>
      <c r="C9" s="124" t="s">
        <v>98</v>
      </c>
    </row>
    <row r="10" spans="1:3" ht="18.75" x14ac:dyDescent="0.3">
      <c r="A10" s="58">
        <f t="shared" si="0"/>
        <v>8</v>
      </c>
      <c r="B10" s="124" t="s">
        <v>80</v>
      </c>
      <c r="C10" s="124" t="s">
        <v>99</v>
      </c>
    </row>
    <row r="11" spans="1:3" ht="18.75" x14ac:dyDescent="0.3">
      <c r="A11" s="58">
        <f t="shared" si="0"/>
        <v>9</v>
      </c>
      <c r="B11" s="124" t="s">
        <v>80</v>
      </c>
      <c r="C11" s="124" t="s">
        <v>97</v>
      </c>
    </row>
    <row r="12" spans="1:3" ht="18.75" x14ac:dyDescent="0.3">
      <c r="A12" s="58">
        <f t="shared" si="0"/>
        <v>10</v>
      </c>
      <c r="B12" s="124" t="s">
        <v>80</v>
      </c>
      <c r="C12" s="125" t="s">
        <v>116</v>
      </c>
    </row>
    <row r="13" spans="1:3" ht="18.75" x14ac:dyDescent="0.3">
      <c r="A13" s="58">
        <f t="shared" si="0"/>
        <v>11</v>
      </c>
      <c r="B13" s="124" t="s">
        <v>68</v>
      </c>
      <c r="C13" s="124" t="s">
        <v>74</v>
      </c>
    </row>
    <row r="14" spans="1:3" ht="18.75" x14ac:dyDescent="0.3">
      <c r="A14" s="58">
        <f t="shared" si="0"/>
        <v>12</v>
      </c>
      <c r="B14" s="124" t="s">
        <v>68</v>
      </c>
      <c r="C14" s="124" t="s">
        <v>83</v>
      </c>
    </row>
    <row r="15" spans="1:3" ht="18.75" x14ac:dyDescent="0.3">
      <c r="A15" s="58">
        <f t="shared" si="0"/>
        <v>13</v>
      </c>
      <c r="B15" s="124" t="s">
        <v>68</v>
      </c>
      <c r="C15" s="124" t="s">
        <v>79</v>
      </c>
    </row>
    <row r="16" spans="1:3" ht="18.75" x14ac:dyDescent="0.3">
      <c r="A16" s="58">
        <f t="shared" si="0"/>
        <v>14</v>
      </c>
      <c r="B16" s="124" t="s">
        <v>68</v>
      </c>
      <c r="C16" s="124" t="s">
        <v>75</v>
      </c>
    </row>
    <row r="17" spans="1:3" ht="18.75" x14ac:dyDescent="0.3">
      <c r="A17" s="58">
        <f t="shared" si="0"/>
        <v>15</v>
      </c>
      <c r="B17" s="124" t="s">
        <v>68</v>
      </c>
      <c r="C17" s="124" t="s">
        <v>76</v>
      </c>
    </row>
    <row r="18" spans="1:3" ht="18.75" x14ac:dyDescent="0.3">
      <c r="A18" s="58">
        <f t="shared" si="0"/>
        <v>16</v>
      </c>
      <c r="B18" s="124" t="s">
        <v>68</v>
      </c>
      <c r="C18" s="124" t="s">
        <v>91</v>
      </c>
    </row>
    <row r="19" spans="1:3" ht="15.75" thickBot="1" x14ac:dyDescent="0.3"/>
    <row r="20" spans="1:3" ht="30.75" thickBot="1" x14ac:dyDescent="0.3">
      <c r="C20" s="104" t="s">
        <v>100</v>
      </c>
    </row>
    <row r="22" spans="1:3" ht="18.75" x14ac:dyDescent="0.3">
      <c r="C22" s="105" t="s">
        <v>101</v>
      </c>
    </row>
  </sheetData>
  <mergeCells count="1">
    <mergeCell ref="A1:C1"/>
  </mergeCells>
  <pageMargins left="0.7" right="0.7" top="0.75" bottom="0.75" header="0.3" footer="0.3"/>
  <pageSetup orientation="portrait" r:id="rId1"/>
  <customProperties>
    <customPr name="_pios_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FB5B-7EE1-498F-90B5-FA3D3BF37837}">
  <dimension ref="A1:I47"/>
  <sheetViews>
    <sheetView zoomScaleNormal="100" workbookViewId="0">
      <pane ySplit="3" topLeftCell="A4" activePane="bottomLeft" state="frozen"/>
      <selection pane="bottomLeft" activeCell="B1" sqref="B1"/>
    </sheetView>
  </sheetViews>
  <sheetFormatPr defaultRowHeight="15" x14ac:dyDescent="0.25"/>
  <cols>
    <col min="1" max="1" width="34.7109375" bestFit="1" customWidth="1"/>
    <col min="2" max="2" width="46.28515625" bestFit="1" customWidth="1"/>
    <col min="3" max="3" width="30.5703125" style="3" bestFit="1" customWidth="1"/>
    <col min="4" max="4" width="12.42578125" style="3" customWidth="1"/>
    <col min="5" max="5" width="10.140625" style="3" customWidth="1"/>
    <col min="6" max="6" width="17.5703125" style="3" bestFit="1" customWidth="1"/>
    <col min="7" max="7" width="15" style="3" bestFit="1" customWidth="1"/>
    <col min="8" max="8" width="13.5703125" bestFit="1" customWidth="1"/>
    <col min="9" max="9" width="11.85546875" bestFit="1" customWidth="1"/>
    <col min="10" max="10" width="15.42578125" bestFit="1" customWidth="1"/>
  </cols>
  <sheetData>
    <row r="1" spans="1:9" ht="15.75" thickBot="1" x14ac:dyDescent="0.3">
      <c r="A1" s="100" t="s">
        <v>90</v>
      </c>
      <c r="B1" s="100">
        <v>1500</v>
      </c>
      <c r="C1" s="114" t="s">
        <v>113</v>
      </c>
      <c r="D1" s="126"/>
    </row>
    <row r="2" spans="1:9" ht="18" thickBot="1" x14ac:dyDescent="0.3">
      <c r="A2" s="100" t="s">
        <v>96</v>
      </c>
      <c r="B2" s="102">
        <v>1.5</v>
      </c>
      <c r="C2" s="103" t="s">
        <v>92</v>
      </c>
      <c r="D2" s="127">
        <v>0</v>
      </c>
      <c r="E2" s="86">
        <f>SUM(E4:E1048576)</f>
        <v>0</v>
      </c>
      <c r="G2" s="77" t="s">
        <v>51</v>
      </c>
      <c r="H2" s="78">
        <f>SUM(H4:H1048576)</f>
        <v>0</v>
      </c>
      <c r="I2" s="79">
        <f>SUM(I4:I1048576)</f>
        <v>0</v>
      </c>
    </row>
    <row r="3" spans="1:9" s="55" customFormat="1" ht="60.75" thickBot="1" x14ac:dyDescent="0.3">
      <c r="A3" s="71" t="s">
        <v>8</v>
      </c>
      <c r="B3" s="71" t="s">
        <v>9</v>
      </c>
      <c r="C3" s="71" t="s">
        <v>1</v>
      </c>
      <c r="D3" s="71" t="s">
        <v>62</v>
      </c>
      <c r="E3" s="85" t="s">
        <v>63</v>
      </c>
      <c r="F3" s="82" t="s">
        <v>47</v>
      </c>
      <c r="G3" s="83" t="s">
        <v>48</v>
      </c>
      <c r="H3" s="84" t="s">
        <v>49</v>
      </c>
      <c r="I3" s="83" t="s">
        <v>50</v>
      </c>
    </row>
    <row r="4" spans="1:9" x14ac:dyDescent="0.25">
      <c r="A4" s="63" t="s">
        <v>26</v>
      </c>
      <c r="B4" s="64" t="s">
        <v>16</v>
      </c>
      <c r="C4" s="72">
        <v>0</v>
      </c>
      <c r="D4" s="80">
        <v>1</v>
      </c>
      <c r="E4" s="81">
        <f>Table3[[#This Row],[Quantity]]*Table3[[#This Row],[Individual Address Occupancy]]</f>
        <v>0</v>
      </c>
      <c r="F4" s="66">
        <v>0.23</v>
      </c>
      <c r="G4" s="47">
        <v>3.5</v>
      </c>
      <c r="H4" s="50">
        <f>C4*F4</f>
        <v>0</v>
      </c>
      <c r="I4" s="51">
        <f t="shared" ref="I4:I10" si="0">C4*G4</f>
        <v>0</v>
      </c>
    </row>
    <row r="5" spans="1:9" x14ac:dyDescent="0.25">
      <c r="A5" s="63" t="s">
        <v>26</v>
      </c>
      <c r="B5" s="56" t="s">
        <v>84</v>
      </c>
      <c r="C5" s="73">
        <v>0</v>
      </c>
      <c r="D5" s="70">
        <v>1</v>
      </c>
      <c r="E5" s="96">
        <f>Table3[[#This Row],[Quantity]]*Table3[[#This Row],[Individual Address Occupancy]]</f>
        <v>0</v>
      </c>
      <c r="F5" s="98">
        <v>0</v>
      </c>
      <c r="G5" s="48">
        <v>0</v>
      </c>
      <c r="H5" s="50">
        <f>C5*F5</f>
        <v>0</v>
      </c>
      <c r="I5" s="51">
        <f>C5*G5</f>
        <v>0</v>
      </c>
    </row>
    <row r="6" spans="1:9" x14ac:dyDescent="0.25">
      <c r="A6" s="45" t="s">
        <v>26</v>
      </c>
      <c r="B6" s="56" t="s">
        <v>57</v>
      </c>
      <c r="C6" s="73">
        <v>0</v>
      </c>
      <c r="D6" s="70">
        <v>1</v>
      </c>
      <c r="E6" s="65">
        <f>Table3[[#This Row],[Quantity]]*Table3[[#This Row],[Individual Address Occupancy]]</f>
        <v>0</v>
      </c>
      <c r="F6" s="67">
        <v>0</v>
      </c>
      <c r="G6" s="48">
        <v>0</v>
      </c>
      <c r="H6" s="50">
        <v>0</v>
      </c>
      <c r="I6" s="51">
        <f t="shared" si="0"/>
        <v>0</v>
      </c>
    </row>
    <row r="7" spans="1:9" x14ac:dyDescent="0.25">
      <c r="A7" s="45" t="s">
        <v>26</v>
      </c>
      <c r="B7" s="56" t="s">
        <v>58</v>
      </c>
      <c r="C7" s="73">
        <v>0</v>
      </c>
      <c r="D7" s="70">
        <v>1</v>
      </c>
      <c r="E7" s="65">
        <f>Table3[[#This Row],[Quantity]]*Table3[[#This Row],[Individual Address Occupancy]]</f>
        <v>0</v>
      </c>
      <c r="F7" s="67">
        <v>0</v>
      </c>
      <c r="G7" s="48">
        <v>0</v>
      </c>
      <c r="H7" s="50">
        <f>C7*F7</f>
        <v>0</v>
      </c>
      <c r="I7" s="51">
        <f t="shared" si="0"/>
        <v>0</v>
      </c>
    </row>
    <row r="8" spans="1:9" x14ac:dyDescent="0.25">
      <c r="A8" s="45" t="s">
        <v>26</v>
      </c>
      <c r="B8" s="56" t="s">
        <v>59</v>
      </c>
      <c r="C8" s="73">
        <v>0</v>
      </c>
      <c r="D8" s="70">
        <v>1</v>
      </c>
      <c r="E8" s="65">
        <f>Table3[[#This Row],[Quantity]]*Table3[[#This Row],[Individual Address Occupancy]]</f>
        <v>0</v>
      </c>
      <c r="F8" s="67">
        <v>0</v>
      </c>
      <c r="G8" s="48">
        <v>0</v>
      </c>
      <c r="H8" s="50">
        <f>C8*F8</f>
        <v>0</v>
      </c>
      <c r="I8" s="51">
        <f t="shared" si="0"/>
        <v>0</v>
      </c>
    </row>
    <row r="9" spans="1:9" x14ac:dyDescent="0.25">
      <c r="A9" s="45" t="s">
        <v>26</v>
      </c>
      <c r="B9" s="56" t="s">
        <v>60</v>
      </c>
      <c r="C9" s="73">
        <v>0</v>
      </c>
      <c r="D9" s="70">
        <v>1</v>
      </c>
      <c r="E9" s="65">
        <f>Table3[[#This Row],[Quantity]]*Table3[[#This Row],[Individual Address Occupancy]]</f>
        <v>0</v>
      </c>
      <c r="F9" s="67">
        <v>0</v>
      </c>
      <c r="G9" s="48">
        <v>0</v>
      </c>
      <c r="H9" s="50">
        <f>C9*F9</f>
        <v>0</v>
      </c>
      <c r="I9" s="51">
        <f t="shared" si="0"/>
        <v>0</v>
      </c>
    </row>
    <row r="10" spans="1:9" x14ac:dyDescent="0.25">
      <c r="A10" s="45" t="s">
        <v>26</v>
      </c>
      <c r="B10" s="56" t="s">
        <v>61</v>
      </c>
      <c r="C10" s="73">
        <v>0</v>
      </c>
      <c r="D10" s="70">
        <v>2</v>
      </c>
      <c r="E10" s="65">
        <f>Table3[[#This Row],[Quantity]]*Table3[[#This Row],[Individual Address Occupancy]]</f>
        <v>0</v>
      </c>
      <c r="F10" s="67">
        <v>0</v>
      </c>
      <c r="G10" s="48">
        <v>0</v>
      </c>
      <c r="H10" s="50">
        <f>C10*F10</f>
        <v>0</v>
      </c>
      <c r="I10" s="51">
        <f t="shared" si="0"/>
        <v>0</v>
      </c>
    </row>
    <row r="11" spans="1:9" x14ac:dyDescent="0.25">
      <c r="A11" s="45" t="s">
        <v>17</v>
      </c>
      <c r="B11" s="56" t="s">
        <v>10</v>
      </c>
      <c r="C11" s="73">
        <v>0</v>
      </c>
      <c r="D11" s="70">
        <v>1</v>
      </c>
      <c r="E11" s="65">
        <f>Table3[[#This Row],[Quantity]]*Table3[[#This Row],[Individual Address Occupancy]]</f>
        <v>0</v>
      </c>
      <c r="F11" s="68">
        <v>0.3</v>
      </c>
      <c r="G11" s="48">
        <v>3.5</v>
      </c>
      <c r="H11" s="50">
        <f t="shared" ref="H11:H47" si="1">C11*F11</f>
        <v>0</v>
      </c>
      <c r="I11" s="51">
        <f t="shared" ref="I11:I47" si="2">C11*G11</f>
        <v>0</v>
      </c>
    </row>
    <row r="12" spans="1:9" x14ac:dyDescent="0.25">
      <c r="A12" s="45" t="s">
        <v>17</v>
      </c>
      <c r="B12" s="56" t="s">
        <v>20</v>
      </c>
      <c r="C12" s="73">
        <v>0</v>
      </c>
      <c r="D12" s="70">
        <v>1</v>
      </c>
      <c r="E12" s="65">
        <f>Table3[[#This Row],[Quantity]]*Table3[[#This Row],[Individual Address Occupancy]]</f>
        <v>0</v>
      </c>
      <c r="F12" s="68">
        <v>0.3</v>
      </c>
      <c r="G12" s="48">
        <v>3.5</v>
      </c>
      <c r="H12" s="50">
        <f t="shared" si="1"/>
        <v>0</v>
      </c>
      <c r="I12" s="51">
        <f t="shared" si="2"/>
        <v>0</v>
      </c>
    </row>
    <row r="13" spans="1:9" x14ac:dyDescent="0.25">
      <c r="A13" s="45" t="s">
        <v>17</v>
      </c>
      <c r="B13" s="56" t="s">
        <v>21</v>
      </c>
      <c r="C13" s="73">
        <v>0</v>
      </c>
      <c r="D13" s="70">
        <v>1</v>
      </c>
      <c r="E13" s="65">
        <f>Table3[[#This Row],[Quantity]]*Table3[[#This Row],[Individual Address Occupancy]]</f>
        <v>0</v>
      </c>
      <c r="F13" s="68">
        <v>0.3</v>
      </c>
      <c r="G13" s="48">
        <v>3.5</v>
      </c>
      <c r="H13" s="50">
        <f t="shared" si="1"/>
        <v>0</v>
      </c>
      <c r="I13" s="51">
        <f t="shared" si="2"/>
        <v>0</v>
      </c>
    </row>
    <row r="14" spans="1:9" x14ac:dyDescent="0.25">
      <c r="A14" s="45" t="s">
        <v>17</v>
      </c>
      <c r="B14" s="56" t="s">
        <v>22</v>
      </c>
      <c r="C14" s="73">
        <v>0</v>
      </c>
      <c r="D14" s="70">
        <v>1</v>
      </c>
      <c r="E14" s="65">
        <f>Table3[[#This Row],[Quantity]]*Table3[[#This Row],[Individual Address Occupancy]]</f>
        <v>0</v>
      </c>
      <c r="F14" s="68">
        <v>0.3</v>
      </c>
      <c r="G14" s="48">
        <v>3.5</v>
      </c>
      <c r="H14" s="50">
        <f t="shared" si="1"/>
        <v>0</v>
      </c>
      <c r="I14" s="51">
        <f t="shared" si="2"/>
        <v>0</v>
      </c>
    </row>
    <row r="15" spans="1:9" x14ac:dyDescent="0.25">
      <c r="A15" s="45" t="s">
        <v>17</v>
      </c>
      <c r="B15" s="56" t="s">
        <v>18</v>
      </c>
      <c r="C15" s="73">
        <v>0</v>
      </c>
      <c r="D15" s="70">
        <v>1</v>
      </c>
      <c r="E15" s="65">
        <f>Table3[[#This Row],[Quantity]]*Table3[[#This Row],[Individual Address Occupancy]]</f>
        <v>0</v>
      </c>
      <c r="F15" s="68">
        <v>0.3</v>
      </c>
      <c r="G15" s="48">
        <v>3.5</v>
      </c>
      <c r="H15" s="50">
        <f t="shared" si="1"/>
        <v>0</v>
      </c>
      <c r="I15" s="51">
        <f t="shared" si="2"/>
        <v>0</v>
      </c>
    </row>
    <row r="16" spans="1:9" x14ac:dyDescent="0.25">
      <c r="A16" s="45" t="s">
        <v>17</v>
      </c>
      <c r="B16" s="56" t="s">
        <v>19</v>
      </c>
      <c r="C16" s="73">
        <v>0</v>
      </c>
      <c r="D16" s="70">
        <v>1</v>
      </c>
      <c r="E16" s="65">
        <f>Table3[[#This Row],[Quantity]]*Table3[[#This Row],[Individual Address Occupancy]]</f>
        <v>0</v>
      </c>
      <c r="F16" s="68">
        <v>0.3</v>
      </c>
      <c r="G16" s="48">
        <v>3.5</v>
      </c>
      <c r="H16" s="50">
        <f t="shared" si="1"/>
        <v>0</v>
      </c>
      <c r="I16" s="51">
        <f t="shared" si="2"/>
        <v>0</v>
      </c>
    </row>
    <row r="17" spans="1:9" x14ac:dyDescent="0.25">
      <c r="A17" s="45" t="s">
        <v>17</v>
      </c>
      <c r="B17" s="56" t="s">
        <v>85</v>
      </c>
      <c r="C17" s="73">
        <v>0</v>
      </c>
      <c r="D17" s="70">
        <v>1</v>
      </c>
      <c r="E17" s="96">
        <f>Table3[[#This Row],[Quantity]]*Table3[[#This Row],[Individual Address Occupancy]]</f>
        <v>0</v>
      </c>
      <c r="F17" s="68">
        <v>0.3</v>
      </c>
      <c r="G17" s="48">
        <v>1</v>
      </c>
      <c r="H17" s="50">
        <f>C17*F17</f>
        <v>0</v>
      </c>
      <c r="I17" s="51">
        <f>C17*G17</f>
        <v>0</v>
      </c>
    </row>
    <row r="18" spans="1:9" x14ac:dyDescent="0.25">
      <c r="A18" s="45" t="s">
        <v>17</v>
      </c>
      <c r="B18" s="56" t="s">
        <v>82</v>
      </c>
      <c r="C18" s="73">
        <v>0</v>
      </c>
      <c r="D18" s="70">
        <v>1</v>
      </c>
      <c r="E18" s="96">
        <f>Table3[[#This Row],[Quantity]]*Table3[[#This Row],[Individual Address Occupancy]]</f>
        <v>0</v>
      </c>
      <c r="F18" s="97">
        <v>2</v>
      </c>
      <c r="G18" s="48">
        <v>8.5</v>
      </c>
      <c r="H18" s="50">
        <f>C18*F18</f>
        <v>0</v>
      </c>
      <c r="I18" s="51">
        <f>C18*G18</f>
        <v>0</v>
      </c>
    </row>
    <row r="19" spans="1:9" x14ac:dyDescent="0.25">
      <c r="A19" s="45" t="s">
        <v>24</v>
      </c>
      <c r="B19" s="56" t="s">
        <v>12</v>
      </c>
      <c r="C19" s="73">
        <v>0</v>
      </c>
      <c r="D19" s="70">
        <v>1</v>
      </c>
      <c r="E19" s="65">
        <f>Table3[[#This Row],[Quantity]]*Table3[[#This Row],[Individual Address Occupancy]]</f>
        <v>0</v>
      </c>
      <c r="F19" s="67">
        <v>0.14000000000000001</v>
      </c>
      <c r="G19" s="49">
        <v>3.5</v>
      </c>
      <c r="H19" s="50">
        <f t="shared" si="1"/>
        <v>0</v>
      </c>
      <c r="I19" s="51">
        <f t="shared" si="2"/>
        <v>0</v>
      </c>
    </row>
    <row r="20" spans="1:9" x14ac:dyDescent="0.25">
      <c r="A20" s="45" t="s">
        <v>24</v>
      </c>
      <c r="B20" s="56" t="s">
        <v>15</v>
      </c>
      <c r="C20" s="73">
        <v>0</v>
      </c>
      <c r="D20" s="70">
        <v>1</v>
      </c>
      <c r="E20" s="65">
        <f>Table3[[#This Row],[Quantity]]*Table3[[#This Row],[Individual Address Occupancy]]</f>
        <v>0</v>
      </c>
      <c r="F20" s="67">
        <v>0.16</v>
      </c>
      <c r="G20" s="49">
        <v>7</v>
      </c>
      <c r="H20" s="50">
        <f>C20*F20</f>
        <v>0</v>
      </c>
      <c r="I20" s="51">
        <f t="shared" si="2"/>
        <v>0</v>
      </c>
    </row>
    <row r="21" spans="1:9" x14ac:dyDescent="0.25">
      <c r="A21" s="45" t="s">
        <v>24</v>
      </c>
      <c r="B21" s="56" t="s">
        <v>13</v>
      </c>
      <c r="C21" s="73">
        <v>0</v>
      </c>
      <c r="D21" s="70">
        <v>3</v>
      </c>
      <c r="E21" s="65">
        <f>Table3[[#This Row],[Quantity]]*Table3[[#This Row],[Individual Address Occupancy]]</f>
        <v>0</v>
      </c>
      <c r="F21" s="67">
        <v>0.14000000000000001</v>
      </c>
      <c r="G21" s="49">
        <v>14</v>
      </c>
      <c r="H21" s="50">
        <f t="shared" si="1"/>
        <v>0</v>
      </c>
      <c r="I21" s="51">
        <f t="shared" si="2"/>
        <v>0</v>
      </c>
    </row>
    <row r="22" spans="1:9" x14ac:dyDescent="0.25">
      <c r="A22" s="45" t="s">
        <v>24</v>
      </c>
      <c r="B22" s="56" t="s">
        <v>14</v>
      </c>
      <c r="C22" s="73">
        <v>0</v>
      </c>
      <c r="D22" s="70">
        <v>2</v>
      </c>
      <c r="E22" s="65">
        <f>Table3[[#This Row],[Quantity]]*Table3[[#This Row],[Individual Address Occupancy]]</f>
        <v>0</v>
      </c>
      <c r="F22" s="67">
        <v>0.14000000000000001</v>
      </c>
      <c r="G22" s="49">
        <v>7</v>
      </c>
      <c r="H22" s="50">
        <f t="shared" si="1"/>
        <v>0</v>
      </c>
      <c r="I22" s="51">
        <f t="shared" si="2"/>
        <v>0</v>
      </c>
    </row>
    <row r="23" spans="1:9" x14ac:dyDescent="0.25">
      <c r="A23" s="45" t="s">
        <v>24</v>
      </c>
      <c r="B23" s="56" t="s">
        <v>23</v>
      </c>
      <c r="C23" s="73">
        <v>0</v>
      </c>
      <c r="D23" s="70">
        <v>1</v>
      </c>
      <c r="E23" s="65">
        <f>Table3[[#This Row],[Quantity]]*Table3[[#This Row],[Individual Address Occupancy]]</f>
        <v>0</v>
      </c>
      <c r="F23" s="67">
        <v>0.75</v>
      </c>
      <c r="G23" s="49">
        <v>5.5</v>
      </c>
      <c r="H23" s="50">
        <f t="shared" si="1"/>
        <v>0</v>
      </c>
      <c r="I23" s="51">
        <f t="shared" si="2"/>
        <v>0</v>
      </c>
    </row>
    <row r="24" spans="1:9" x14ac:dyDescent="0.25">
      <c r="A24" s="45" t="s">
        <v>24</v>
      </c>
      <c r="B24" s="56" t="s">
        <v>11</v>
      </c>
      <c r="C24" s="73">
        <v>0</v>
      </c>
      <c r="D24" s="70">
        <v>1</v>
      </c>
      <c r="E24" s="65">
        <f>Table3[[#This Row],[Quantity]]*Table3[[#This Row],[Individual Address Occupancy]]</f>
        <v>0</v>
      </c>
      <c r="F24" s="67">
        <v>0.5</v>
      </c>
      <c r="G24" s="49">
        <v>2.2000000000000002</v>
      </c>
      <c r="H24" s="50">
        <f t="shared" ref="H24" si="3">C24*F24</f>
        <v>0</v>
      </c>
      <c r="I24" s="51">
        <f t="shared" ref="I24" si="4">C24*G24</f>
        <v>0</v>
      </c>
    </row>
    <row r="25" spans="1:9" x14ac:dyDescent="0.25">
      <c r="A25" s="45" t="s">
        <v>25</v>
      </c>
      <c r="B25" s="56" t="s">
        <v>12</v>
      </c>
      <c r="C25" s="73">
        <v>0</v>
      </c>
      <c r="D25" s="70">
        <v>1</v>
      </c>
      <c r="E25" s="65">
        <f>Table3[[#This Row],[Quantity]]*Table3[[#This Row],[Individual Address Occupancy]]</f>
        <v>0</v>
      </c>
      <c r="F25" s="67">
        <v>0.2</v>
      </c>
      <c r="G25" s="49">
        <v>3.5</v>
      </c>
      <c r="H25" s="50">
        <f t="shared" si="1"/>
        <v>0</v>
      </c>
      <c r="I25" s="51">
        <f t="shared" si="2"/>
        <v>0</v>
      </c>
    </row>
    <row r="26" spans="1:9" x14ac:dyDescent="0.25">
      <c r="A26" s="45" t="s">
        <v>25</v>
      </c>
      <c r="B26" s="56" t="s">
        <v>15</v>
      </c>
      <c r="C26" s="73">
        <v>0</v>
      </c>
      <c r="D26" s="70">
        <v>1</v>
      </c>
      <c r="E26" s="65">
        <f>Table3[[#This Row],[Quantity]]*Table3[[#This Row],[Individual Address Occupancy]]</f>
        <v>0</v>
      </c>
      <c r="F26" s="67">
        <v>0.31</v>
      </c>
      <c r="G26" s="49">
        <v>7</v>
      </c>
      <c r="H26" s="50">
        <f t="shared" si="1"/>
        <v>0</v>
      </c>
      <c r="I26" s="51">
        <f t="shared" si="2"/>
        <v>0</v>
      </c>
    </row>
    <row r="27" spans="1:9" x14ac:dyDescent="0.25">
      <c r="A27" s="45" t="s">
        <v>25</v>
      </c>
      <c r="B27" s="56" t="s">
        <v>13</v>
      </c>
      <c r="C27" s="73">
        <v>0</v>
      </c>
      <c r="D27" s="70">
        <v>3</v>
      </c>
      <c r="E27" s="65">
        <f>Table3[[#This Row],[Quantity]]*Table3[[#This Row],[Individual Address Occupancy]]</f>
        <v>0</v>
      </c>
      <c r="F27" s="67">
        <v>0.2</v>
      </c>
      <c r="G27" s="49">
        <v>14</v>
      </c>
      <c r="H27" s="50">
        <f t="shared" si="1"/>
        <v>0</v>
      </c>
      <c r="I27" s="51">
        <f t="shared" si="2"/>
        <v>0</v>
      </c>
    </row>
    <row r="28" spans="1:9" x14ac:dyDescent="0.25">
      <c r="A28" s="45" t="s">
        <v>25</v>
      </c>
      <c r="B28" s="56" t="s">
        <v>14</v>
      </c>
      <c r="C28" s="73">
        <v>0</v>
      </c>
      <c r="D28" s="70">
        <v>2</v>
      </c>
      <c r="E28" s="65">
        <f>Table3[[#This Row],[Quantity]]*Table3[[#This Row],[Individual Address Occupancy]]</f>
        <v>0</v>
      </c>
      <c r="F28" s="67">
        <v>0.2</v>
      </c>
      <c r="G28" s="49">
        <v>7</v>
      </c>
      <c r="H28" s="50">
        <f t="shared" si="1"/>
        <v>0</v>
      </c>
      <c r="I28" s="51">
        <f t="shared" si="2"/>
        <v>0</v>
      </c>
    </row>
    <row r="29" spans="1:9" x14ac:dyDescent="0.25">
      <c r="A29" s="45" t="s">
        <v>25</v>
      </c>
      <c r="B29" s="56" t="s">
        <v>23</v>
      </c>
      <c r="C29" s="73">
        <v>0</v>
      </c>
      <c r="D29" s="70">
        <v>1</v>
      </c>
      <c r="E29" s="65">
        <f>Table3[[#This Row],[Quantity]]*Table3[[#This Row],[Individual Address Occupancy]]</f>
        <v>0</v>
      </c>
      <c r="F29" s="67">
        <v>0.75</v>
      </c>
      <c r="G29" s="49">
        <v>5.5</v>
      </c>
      <c r="H29" s="50">
        <f t="shared" si="1"/>
        <v>0</v>
      </c>
      <c r="I29" s="51">
        <f t="shared" si="2"/>
        <v>0</v>
      </c>
    </row>
    <row r="30" spans="1:9" x14ac:dyDescent="0.25">
      <c r="A30" s="45" t="s">
        <v>25</v>
      </c>
      <c r="B30" s="56" t="s">
        <v>11</v>
      </c>
      <c r="C30" s="73">
        <v>0</v>
      </c>
      <c r="D30" s="70">
        <v>1</v>
      </c>
      <c r="E30" s="65">
        <f>Table3[[#This Row],[Quantity]]*Table3[[#This Row],[Individual Address Occupancy]]</f>
        <v>0</v>
      </c>
      <c r="F30" s="67">
        <v>0.5</v>
      </c>
      <c r="G30" s="49">
        <v>2.2000000000000002</v>
      </c>
      <c r="H30" s="50">
        <f t="shared" si="1"/>
        <v>0</v>
      </c>
      <c r="I30" s="51">
        <f t="shared" si="2"/>
        <v>0</v>
      </c>
    </row>
    <row r="31" spans="1:9" x14ac:dyDescent="0.25">
      <c r="A31" s="45" t="s">
        <v>25</v>
      </c>
      <c r="B31" s="56" t="s">
        <v>27</v>
      </c>
      <c r="C31" s="73">
        <v>0</v>
      </c>
      <c r="D31" s="70">
        <v>1</v>
      </c>
      <c r="E31" s="65">
        <f>Table3[[#This Row],[Quantity]]*Table3[[#This Row],[Individual Address Occupancy]]</f>
        <v>0</v>
      </c>
      <c r="F31" s="67">
        <v>0.11</v>
      </c>
      <c r="G31" s="49">
        <v>3.5</v>
      </c>
      <c r="H31" s="50">
        <f t="shared" si="1"/>
        <v>0</v>
      </c>
      <c r="I31" s="51">
        <f t="shared" si="2"/>
        <v>0</v>
      </c>
    </row>
    <row r="32" spans="1:9" x14ac:dyDescent="0.25">
      <c r="A32" s="45" t="s">
        <v>28</v>
      </c>
      <c r="B32" s="56" t="s">
        <v>29</v>
      </c>
      <c r="C32" s="73">
        <v>0</v>
      </c>
      <c r="D32" s="70">
        <v>6</v>
      </c>
      <c r="E32" s="65">
        <f>Table3[[#This Row],[Quantity]]*Table3[[#This Row],[Individual Address Occupancy]]</f>
        <v>0</v>
      </c>
      <c r="F32" s="67">
        <v>1.49</v>
      </c>
      <c r="G32" s="49">
        <v>36</v>
      </c>
      <c r="H32" s="50">
        <f t="shared" si="1"/>
        <v>0</v>
      </c>
      <c r="I32" s="51">
        <f t="shared" si="2"/>
        <v>0</v>
      </c>
    </row>
    <row r="33" spans="1:9" x14ac:dyDescent="0.25">
      <c r="A33" s="45" t="s">
        <v>28</v>
      </c>
      <c r="B33" s="56" t="s">
        <v>30</v>
      </c>
      <c r="C33" s="73">
        <v>0</v>
      </c>
      <c r="D33" s="70">
        <v>6</v>
      </c>
      <c r="E33" s="65">
        <f>Table3[[#This Row],[Quantity]]*Table3[[#This Row],[Individual Address Occupancy]]</f>
        <v>0</v>
      </c>
      <c r="F33" s="67">
        <v>2.34</v>
      </c>
      <c r="G33" s="49">
        <v>36</v>
      </c>
      <c r="H33" s="50">
        <f t="shared" si="1"/>
        <v>0</v>
      </c>
      <c r="I33" s="51">
        <f t="shared" si="2"/>
        <v>0</v>
      </c>
    </row>
    <row r="34" spans="1:9" x14ac:dyDescent="0.25">
      <c r="A34" s="45" t="s">
        <v>28</v>
      </c>
      <c r="B34" s="56" t="s">
        <v>32</v>
      </c>
      <c r="C34" s="73">
        <v>0</v>
      </c>
      <c r="D34" s="70">
        <v>10</v>
      </c>
      <c r="E34" s="65">
        <f>Table3[[#This Row],[Quantity]]*Table3[[#This Row],[Individual Address Occupancy]]</f>
        <v>0</v>
      </c>
      <c r="F34" s="67">
        <v>3.5</v>
      </c>
      <c r="G34" s="49">
        <v>60</v>
      </c>
      <c r="H34" s="50">
        <f t="shared" si="1"/>
        <v>0</v>
      </c>
      <c r="I34" s="51">
        <f t="shared" si="2"/>
        <v>0</v>
      </c>
    </row>
    <row r="35" spans="1:9" x14ac:dyDescent="0.25">
      <c r="A35" s="45" t="s">
        <v>28</v>
      </c>
      <c r="B35" s="56" t="s">
        <v>31</v>
      </c>
      <c r="C35" s="73">
        <v>0</v>
      </c>
      <c r="D35" s="70">
        <v>6</v>
      </c>
      <c r="E35" s="65">
        <f>Table3[[#This Row],[Quantity]]*Table3[[#This Row],[Individual Address Occupancy]]</f>
        <v>0</v>
      </c>
      <c r="F35" s="67">
        <v>2.04</v>
      </c>
      <c r="G35" s="49">
        <v>40</v>
      </c>
      <c r="H35" s="50">
        <f t="shared" si="1"/>
        <v>0</v>
      </c>
      <c r="I35" s="51">
        <f t="shared" si="2"/>
        <v>0</v>
      </c>
    </row>
    <row r="36" spans="1:9" x14ac:dyDescent="0.25">
      <c r="A36" s="45" t="s">
        <v>33</v>
      </c>
      <c r="B36" s="56" t="s">
        <v>34</v>
      </c>
      <c r="C36" s="73">
        <v>0</v>
      </c>
      <c r="D36" s="70">
        <v>1</v>
      </c>
      <c r="E36" s="65">
        <f>Table3[[#This Row],[Quantity]]*Table3[[#This Row],[Individual Address Occupancy]]</f>
        <v>0</v>
      </c>
      <c r="F36" s="67">
        <v>0.12</v>
      </c>
      <c r="G36" s="49">
        <v>7</v>
      </c>
      <c r="H36" s="50">
        <f t="shared" si="1"/>
        <v>0</v>
      </c>
      <c r="I36" s="51">
        <f t="shared" si="2"/>
        <v>0</v>
      </c>
    </row>
    <row r="37" spans="1:9" x14ac:dyDescent="0.25">
      <c r="A37" s="45" t="s">
        <v>33</v>
      </c>
      <c r="B37" s="56" t="s">
        <v>35</v>
      </c>
      <c r="C37" s="73">
        <v>0</v>
      </c>
      <c r="D37" s="70">
        <v>1</v>
      </c>
      <c r="E37" s="65">
        <f>Table3[[#This Row],[Quantity]]*Table3[[#This Row],[Individual Address Occupancy]]</f>
        <v>0</v>
      </c>
      <c r="F37" s="67">
        <v>0.12</v>
      </c>
      <c r="G37" s="49">
        <v>7</v>
      </c>
      <c r="H37" s="50">
        <f t="shared" si="1"/>
        <v>0</v>
      </c>
      <c r="I37" s="51">
        <f t="shared" si="2"/>
        <v>0</v>
      </c>
    </row>
    <row r="38" spans="1:9" x14ac:dyDescent="0.25">
      <c r="A38" s="45" t="s">
        <v>36</v>
      </c>
      <c r="B38" s="56" t="s">
        <v>37</v>
      </c>
      <c r="C38" s="73">
        <v>0</v>
      </c>
      <c r="D38" s="70">
        <v>1</v>
      </c>
      <c r="E38" s="65">
        <f>Table3[[#This Row],[Quantity]]*Table3[[#This Row],[Individual Address Occupancy]]</f>
        <v>0</v>
      </c>
      <c r="F38" s="67">
        <v>0.22500000000000001</v>
      </c>
      <c r="G38" s="49">
        <v>11.4</v>
      </c>
      <c r="H38" s="50">
        <f t="shared" si="1"/>
        <v>0</v>
      </c>
      <c r="I38" s="51">
        <f t="shared" si="2"/>
        <v>0</v>
      </c>
    </row>
    <row r="39" spans="1:9" x14ac:dyDescent="0.25">
      <c r="A39" s="45" t="s">
        <v>36</v>
      </c>
      <c r="B39" s="56" t="s">
        <v>38</v>
      </c>
      <c r="C39" s="73">
        <v>0</v>
      </c>
      <c r="D39" s="70">
        <v>1</v>
      </c>
      <c r="E39" s="65">
        <f>Table3[[#This Row],[Quantity]]*Table3[[#This Row],[Individual Address Occupancy]]</f>
        <v>0</v>
      </c>
      <c r="F39" s="67">
        <v>0.22500000000000001</v>
      </c>
      <c r="G39" s="49">
        <v>14.5</v>
      </c>
      <c r="H39" s="50">
        <f t="shared" si="1"/>
        <v>0</v>
      </c>
      <c r="I39" s="51">
        <f t="shared" si="2"/>
        <v>0</v>
      </c>
    </row>
    <row r="40" spans="1:9" x14ac:dyDescent="0.25">
      <c r="A40" s="45" t="s">
        <v>36</v>
      </c>
      <c r="B40" s="56" t="s">
        <v>46</v>
      </c>
      <c r="C40" s="73">
        <v>0</v>
      </c>
      <c r="D40" s="70">
        <v>1</v>
      </c>
      <c r="E40" s="65">
        <f>Table3[[#This Row],[Quantity]]*Table3[[#This Row],[Individual Address Occupancy]]</f>
        <v>0</v>
      </c>
      <c r="F40" s="67">
        <v>0.22500000000000001</v>
      </c>
      <c r="G40" s="49">
        <v>5.4</v>
      </c>
      <c r="H40" s="50">
        <f t="shared" si="1"/>
        <v>0</v>
      </c>
      <c r="I40" s="51">
        <f t="shared" si="2"/>
        <v>0</v>
      </c>
    </row>
    <row r="41" spans="1:9" x14ac:dyDescent="0.25">
      <c r="A41" s="45" t="s">
        <v>36</v>
      </c>
      <c r="B41" s="56" t="s">
        <v>39</v>
      </c>
      <c r="C41" s="73">
        <v>0</v>
      </c>
      <c r="D41" s="70">
        <v>1</v>
      </c>
      <c r="E41" s="65">
        <f>Table3[[#This Row],[Quantity]]*Table3[[#This Row],[Individual Address Occupancy]]</f>
        <v>0</v>
      </c>
      <c r="F41" s="67">
        <v>0.22500000000000001</v>
      </c>
      <c r="G41" s="49">
        <v>10.5</v>
      </c>
      <c r="H41" s="50">
        <f t="shared" si="1"/>
        <v>0</v>
      </c>
      <c r="I41" s="51">
        <f t="shared" si="2"/>
        <v>0</v>
      </c>
    </row>
    <row r="42" spans="1:9" x14ac:dyDescent="0.25">
      <c r="A42" s="45" t="s">
        <v>36</v>
      </c>
      <c r="B42" s="56" t="s">
        <v>42</v>
      </c>
      <c r="C42" s="73">
        <v>0</v>
      </c>
      <c r="D42" s="70">
        <v>1</v>
      </c>
      <c r="E42" s="65">
        <f>Table3[[#This Row],[Quantity]]*Table3[[#This Row],[Individual Address Occupancy]]</f>
        <v>0</v>
      </c>
      <c r="F42" s="67">
        <v>0.15</v>
      </c>
      <c r="G42" s="49">
        <v>15</v>
      </c>
      <c r="H42" s="50">
        <f t="shared" si="1"/>
        <v>0</v>
      </c>
      <c r="I42" s="51">
        <f t="shared" si="2"/>
        <v>0</v>
      </c>
    </row>
    <row r="43" spans="1:9" x14ac:dyDescent="0.25">
      <c r="A43" s="45" t="s">
        <v>36</v>
      </c>
      <c r="B43" s="56" t="s">
        <v>41</v>
      </c>
      <c r="C43" s="73">
        <v>0</v>
      </c>
      <c r="D43" s="70">
        <v>1</v>
      </c>
      <c r="E43" s="65">
        <f>Table3[[#This Row],[Quantity]]*Table3[[#This Row],[Individual Address Occupancy]]</f>
        <v>0</v>
      </c>
      <c r="F43" s="67">
        <v>0.22500000000000001</v>
      </c>
      <c r="G43" s="49">
        <v>3.5</v>
      </c>
      <c r="H43" s="50">
        <f t="shared" si="1"/>
        <v>0</v>
      </c>
      <c r="I43" s="51">
        <f t="shared" si="2"/>
        <v>0</v>
      </c>
    </row>
    <row r="44" spans="1:9" x14ac:dyDescent="0.25">
      <c r="A44" s="45" t="s">
        <v>36</v>
      </c>
      <c r="B44" s="56" t="s">
        <v>40</v>
      </c>
      <c r="C44" s="73">
        <v>0</v>
      </c>
      <c r="D44" s="70">
        <v>1</v>
      </c>
      <c r="E44" s="65">
        <f>Table3[[#This Row],[Quantity]]*Table3[[#This Row],[Individual Address Occupancy]]</f>
        <v>0</v>
      </c>
      <c r="F44" s="67">
        <v>0.45</v>
      </c>
      <c r="G44" s="49">
        <v>10</v>
      </c>
      <c r="H44" s="50">
        <f t="shared" si="1"/>
        <v>0</v>
      </c>
      <c r="I44" s="51">
        <f t="shared" si="2"/>
        <v>0</v>
      </c>
    </row>
    <row r="45" spans="1:9" x14ac:dyDescent="0.25">
      <c r="A45" s="45" t="s">
        <v>36</v>
      </c>
      <c r="B45" s="56" t="s">
        <v>43</v>
      </c>
      <c r="C45" s="73">
        <v>0</v>
      </c>
      <c r="D45" s="70">
        <v>1</v>
      </c>
      <c r="E45" s="65">
        <f>Table3[[#This Row],[Quantity]]*Table3[[#This Row],[Individual Address Occupancy]]</f>
        <v>0</v>
      </c>
      <c r="F45" s="67">
        <v>0.15</v>
      </c>
      <c r="G45" s="49">
        <v>27</v>
      </c>
      <c r="H45" s="50">
        <f t="shared" si="1"/>
        <v>0</v>
      </c>
      <c r="I45" s="51">
        <f t="shared" si="2"/>
        <v>0</v>
      </c>
    </row>
    <row r="46" spans="1:9" x14ac:dyDescent="0.25">
      <c r="A46" s="45" t="s">
        <v>36</v>
      </c>
      <c r="B46" s="56" t="s">
        <v>44</v>
      </c>
      <c r="C46" s="73">
        <v>0</v>
      </c>
      <c r="D46" s="70">
        <v>1</v>
      </c>
      <c r="E46" s="65">
        <f>Table3[[#This Row],[Quantity]]*Table3[[#This Row],[Individual Address Occupancy]]</f>
        <v>0</v>
      </c>
      <c r="F46" s="67">
        <v>0.15</v>
      </c>
      <c r="G46" s="49">
        <v>18.5</v>
      </c>
      <c r="H46" s="50">
        <f t="shared" si="1"/>
        <v>0</v>
      </c>
      <c r="I46" s="51">
        <f t="shared" si="2"/>
        <v>0</v>
      </c>
    </row>
    <row r="47" spans="1:9" ht="15.75" thickBot="1" x14ac:dyDescent="0.3">
      <c r="A47" s="46" t="s">
        <v>36</v>
      </c>
      <c r="B47" s="57" t="s">
        <v>45</v>
      </c>
      <c r="C47" s="74">
        <v>0</v>
      </c>
      <c r="D47" s="75">
        <v>1</v>
      </c>
      <c r="E47" s="76">
        <f>Table3[[#This Row],[Quantity]]*Table3[[#This Row],[Individual Address Occupancy]]</f>
        <v>0</v>
      </c>
      <c r="F47" s="69">
        <v>0.15</v>
      </c>
      <c r="G47" s="52">
        <v>8</v>
      </c>
      <c r="H47" s="53">
        <f t="shared" si="1"/>
        <v>0</v>
      </c>
      <c r="I47" s="54">
        <f t="shared" si="2"/>
        <v>0</v>
      </c>
    </row>
  </sheetData>
  <dataValidations count="1">
    <dataValidation type="custom" allowBlank="1" showErrorMessage="1" errorTitle="Value Error" error="Must be lower than total number of devices" sqref="D2" xr:uid="{9B7E4677-33B8-4CDD-8D0F-4024F513E499}">
      <formula1>D2&lt;=SUM(C4:C1048576)</formula1>
    </dataValidation>
  </dataValidations>
  <pageMargins left="0.7" right="0.7" top="0.75" bottom="0.75" header="0.3" footer="0.3"/>
  <pageSetup paperSize="9" orientation="portrait" r:id="rId1"/>
  <customProperties>
    <customPr name="_pios_id" r:id="rId2"/>
  </customProperties>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435601D-C450-4FBE-89C6-6A455D66608B}">
          <x14:formula1>
            <xm:f>Loop_Lenght_Section_Selection!$A$1:$A$15</xm:f>
          </x14:formula1>
          <xm:sqref>B1</xm:sqref>
        </x14:dataValidation>
        <x14:dataValidation type="list" allowBlank="1" showInputMessage="1" showErrorMessage="1" xr:uid="{71A04EAC-F4BE-4E2F-B6C3-886A1509E7C3}">
          <x14:formula1>
            <xm:f>Loop_Lenght_Section_Selection!$C$1:$C$4</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CDF4E-3BBD-4A95-B529-1526816721D5}">
  <dimension ref="A1:I47"/>
  <sheetViews>
    <sheetView zoomScaleNormal="100" workbookViewId="0">
      <pane ySplit="3" topLeftCell="A4" activePane="bottomLeft" state="frozen"/>
      <selection pane="bottomLeft" activeCell="C8" sqref="C8"/>
    </sheetView>
  </sheetViews>
  <sheetFormatPr defaultRowHeight="15" x14ac:dyDescent="0.25"/>
  <cols>
    <col min="1" max="1" width="34.7109375" bestFit="1" customWidth="1"/>
    <col min="2" max="2" width="46.28515625" bestFit="1" customWidth="1"/>
    <col min="3" max="3" width="30.5703125" style="3" bestFit="1" customWidth="1"/>
    <col min="4" max="4" width="11.5703125" style="3" customWidth="1"/>
    <col min="5" max="5" width="10.140625" style="3" customWidth="1"/>
    <col min="6" max="6" width="17.5703125" style="3" bestFit="1" customWidth="1"/>
    <col min="7" max="7" width="15" style="3" bestFit="1" customWidth="1"/>
    <col min="8" max="8" width="13.5703125" bestFit="1" customWidth="1"/>
    <col min="9" max="9" width="11.85546875" bestFit="1" customWidth="1"/>
    <col min="10" max="10" width="15.42578125" bestFit="1" customWidth="1"/>
  </cols>
  <sheetData>
    <row r="1" spans="1:9" ht="15.75" thickBot="1" x14ac:dyDescent="0.3">
      <c r="A1" s="100" t="s">
        <v>90</v>
      </c>
      <c r="B1" s="100">
        <v>1500</v>
      </c>
      <c r="C1" s="114" t="s">
        <v>113</v>
      </c>
      <c r="D1" s="126"/>
    </row>
    <row r="2" spans="1:9" ht="18" thickBot="1" x14ac:dyDescent="0.3">
      <c r="A2" s="100" t="s">
        <v>96</v>
      </c>
      <c r="B2" s="102">
        <v>1.5</v>
      </c>
      <c r="C2" s="103" t="s">
        <v>93</v>
      </c>
      <c r="D2" s="127">
        <v>0</v>
      </c>
      <c r="E2" s="86">
        <f>SUM(E4:E1048576)</f>
        <v>0</v>
      </c>
      <c r="G2" s="77" t="s">
        <v>51</v>
      </c>
      <c r="H2" s="78">
        <f>SUM(H4:H1048576)</f>
        <v>0</v>
      </c>
      <c r="I2" s="79">
        <f>SUM(I4:I1048576)</f>
        <v>0</v>
      </c>
    </row>
    <row r="3" spans="1:9" s="55" customFormat="1" ht="60.75" thickBot="1" x14ac:dyDescent="0.3">
      <c r="A3" s="71" t="s">
        <v>8</v>
      </c>
      <c r="B3" s="71" t="s">
        <v>9</v>
      </c>
      <c r="C3" s="71" t="s">
        <v>1</v>
      </c>
      <c r="D3" s="71" t="s">
        <v>62</v>
      </c>
      <c r="E3" s="85" t="s">
        <v>63</v>
      </c>
      <c r="F3" s="82" t="s">
        <v>47</v>
      </c>
      <c r="G3" s="83" t="s">
        <v>48</v>
      </c>
      <c r="H3" s="84" t="s">
        <v>49</v>
      </c>
      <c r="I3" s="83" t="s">
        <v>50</v>
      </c>
    </row>
    <row r="4" spans="1:9" x14ac:dyDescent="0.25">
      <c r="A4" s="63" t="s">
        <v>26</v>
      </c>
      <c r="B4" s="64" t="s">
        <v>16</v>
      </c>
      <c r="C4" s="72">
        <v>0</v>
      </c>
      <c r="D4" s="80">
        <v>1</v>
      </c>
      <c r="E4" s="81">
        <f>Table32[[#This Row],[Quantity]]*Table32[[#This Row],[Individual Address Occupancy]]</f>
        <v>0</v>
      </c>
      <c r="F4" s="66">
        <v>0.23</v>
      </c>
      <c r="G4" s="47">
        <v>3.5</v>
      </c>
      <c r="H4" s="50">
        <f>C4*F4</f>
        <v>0</v>
      </c>
      <c r="I4" s="51">
        <f t="shared" ref="I4:I47" si="0">C4*G4</f>
        <v>0</v>
      </c>
    </row>
    <row r="5" spans="1:9" x14ac:dyDescent="0.25">
      <c r="A5" s="63" t="s">
        <v>26</v>
      </c>
      <c r="B5" s="56" t="s">
        <v>84</v>
      </c>
      <c r="C5" s="73">
        <v>0</v>
      </c>
      <c r="D5" s="70">
        <v>1</v>
      </c>
      <c r="E5" s="96">
        <f>Table3[[#This Row],[Quantity]]*Table3[[#This Row],[Individual Address Occupancy]]</f>
        <v>0</v>
      </c>
      <c r="F5" s="98">
        <v>0</v>
      </c>
      <c r="G5" s="48">
        <v>0</v>
      </c>
      <c r="H5" s="50">
        <f>C5*F5</f>
        <v>0</v>
      </c>
      <c r="I5" s="51">
        <f>C5*G5</f>
        <v>0</v>
      </c>
    </row>
    <row r="6" spans="1:9" x14ac:dyDescent="0.25">
      <c r="A6" s="45" t="s">
        <v>26</v>
      </c>
      <c r="B6" s="56" t="s">
        <v>57</v>
      </c>
      <c r="C6" s="73">
        <v>0</v>
      </c>
      <c r="D6" s="70">
        <v>1</v>
      </c>
      <c r="E6" s="65">
        <f>Table32[[#This Row],[Quantity]]*Table32[[#This Row],[Individual Address Occupancy]]</f>
        <v>0</v>
      </c>
      <c r="F6" s="67">
        <v>0</v>
      </c>
      <c r="G6" s="48">
        <v>0</v>
      </c>
      <c r="H6" s="50">
        <v>0</v>
      </c>
      <c r="I6" s="51">
        <f t="shared" si="0"/>
        <v>0</v>
      </c>
    </row>
    <row r="7" spans="1:9" x14ac:dyDescent="0.25">
      <c r="A7" s="45" t="s">
        <v>26</v>
      </c>
      <c r="B7" s="56" t="s">
        <v>58</v>
      </c>
      <c r="C7" s="73">
        <v>0</v>
      </c>
      <c r="D7" s="70">
        <v>1</v>
      </c>
      <c r="E7" s="65">
        <f>Table32[[#This Row],[Quantity]]*Table32[[#This Row],[Individual Address Occupancy]]</f>
        <v>0</v>
      </c>
      <c r="F7" s="67">
        <v>0</v>
      </c>
      <c r="G7" s="48">
        <v>0</v>
      </c>
      <c r="H7" s="50">
        <f>C7*F7</f>
        <v>0</v>
      </c>
      <c r="I7" s="51">
        <f t="shared" si="0"/>
        <v>0</v>
      </c>
    </row>
    <row r="8" spans="1:9" x14ac:dyDescent="0.25">
      <c r="A8" s="45" t="s">
        <v>26</v>
      </c>
      <c r="B8" s="56" t="s">
        <v>59</v>
      </c>
      <c r="C8" s="73">
        <v>0</v>
      </c>
      <c r="D8" s="70">
        <v>1</v>
      </c>
      <c r="E8" s="65">
        <f>Table32[[#This Row],[Quantity]]*Table32[[#This Row],[Individual Address Occupancy]]</f>
        <v>0</v>
      </c>
      <c r="F8" s="67">
        <v>0</v>
      </c>
      <c r="G8" s="48">
        <v>0</v>
      </c>
      <c r="H8" s="50">
        <f>C8*F8</f>
        <v>0</v>
      </c>
      <c r="I8" s="51">
        <f t="shared" si="0"/>
        <v>0</v>
      </c>
    </row>
    <row r="9" spans="1:9" x14ac:dyDescent="0.25">
      <c r="A9" s="45" t="s">
        <v>26</v>
      </c>
      <c r="B9" s="56" t="s">
        <v>60</v>
      </c>
      <c r="C9" s="73">
        <v>0</v>
      </c>
      <c r="D9" s="70">
        <v>1</v>
      </c>
      <c r="E9" s="65">
        <f>Table32[[#This Row],[Quantity]]*Table32[[#This Row],[Individual Address Occupancy]]</f>
        <v>0</v>
      </c>
      <c r="F9" s="67">
        <v>0</v>
      </c>
      <c r="G9" s="48">
        <v>0</v>
      </c>
      <c r="H9" s="50">
        <f>C9*F9</f>
        <v>0</v>
      </c>
      <c r="I9" s="51">
        <f t="shared" si="0"/>
        <v>0</v>
      </c>
    </row>
    <row r="10" spans="1:9" x14ac:dyDescent="0.25">
      <c r="A10" s="45" t="s">
        <v>26</v>
      </c>
      <c r="B10" s="56" t="s">
        <v>61</v>
      </c>
      <c r="C10" s="73">
        <v>0</v>
      </c>
      <c r="D10" s="70">
        <v>2</v>
      </c>
      <c r="E10" s="65">
        <f>Table32[[#This Row],[Quantity]]*Table32[[#This Row],[Individual Address Occupancy]]</f>
        <v>0</v>
      </c>
      <c r="F10" s="67">
        <v>0</v>
      </c>
      <c r="G10" s="48">
        <v>0</v>
      </c>
      <c r="H10" s="50">
        <f>C10*F10</f>
        <v>0</v>
      </c>
      <c r="I10" s="51">
        <f t="shared" si="0"/>
        <v>0</v>
      </c>
    </row>
    <row r="11" spans="1:9" x14ac:dyDescent="0.25">
      <c r="A11" s="45" t="s">
        <v>17</v>
      </c>
      <c r="B11" s="56" t="s">
        <v>10</v>
      </c>
      <c r="C11" s="73">
        <v>0</v>
      </c>
      <c r="D11" s="70">
        <v>1</v>
      </c>
      <c r="E11" s="65">
        <f>Table32[[#This Row],[Quantity]]*Table32[[#This Row],[Individual Address Occupancy]]</f>
        <v>0</v>
      </c>
      <c r="F11" s="68">
        <v>0.3</v>
      </c>
      <c r="G11" s="48">
        <v>3.5</v>
      </c>
      <c r="H11" s="50">
        <f t="shared" ref="H11:H47" si="1">C11*F11</f>
        <v>0</v>
      </c>
      <c r="I11" s="51">
        <f t="shared" si="0"/>
        <v>0</v>
      </c>
    </row>
    <row r="12" spans="1:9" x14ac:dyDescent="0.25">
      <c r="A12" s="45" t="s">
        <v>17</v>
      </c>
      <c r="B12" s="56" t="s">
        <v>20</v>
      </c>
      <c r="C12" s="73">
        <v>0</v>
      </c>
      <c r="D12" s="70">
        <v>1</v>
      </c>
      <c r="E12" s="65">
        <f>Table32[[#This Row],[Quantity]]*Table32[[#This Row],[Individual Address Occupancy]]</f>
        <v>0</v>
      </c>
      <c r="F12" s="68">
        <v>0.3</v>
      </c>
      <c r="G12" s="48">
        <v>3.5</v>
      </c>
      <c r="H12" s="50">
        <f t="shared" si="1"/>
        <v>0</v>
      </c>
      <c r="I12" s="51">
        <f t="shared" si="0"/>
        <v>0</v>
      </c>
    </row>
    <row r="13" spans="1:9" x14ac:dyDescent="0.25">
      <c r="A13" s="45" t="s">
        <v>17</v>
      </c>
      <c r="B13" s="56" t="s">
        <v>21</v>
      </c>
      <c r="C13" s="73">
        <v>0</v>
      </c>
      <c r="D13" s="70">
        <v>1</v>
      </c>
      <c r="E13" s="65">
        <f>Table32[[#This Row],[Quantity]]*Table32[[#This Row],[Individual Address Occupancy]]</f>
        <v>0</v>
      </c>
      <c r="F13" s="68">
        <v>0.3</v>
      </c>
      <c r="G13" s="48">
        <v>3.5</v>
      </c>
      <c r="H13" s="50">
        <f t="shared" si="1"/>
        <v>0</v>
      </c>
      <c r="I13" s="51">
        <f t="shared" si="0"/>
        <v>0</v>
      </c>
    </row>
    <row r="14" spans="1:9" x14ac:dyDescent="0.25">
      <c r="A14" s="45" t="s">
        <v>17</v>
      </c>
      <c r="B14" s="56" t="s">
        <v>22</v>
      </c>
      <c r="C14" s="73">
        <v>0</v>
      </c>
      <c r="D14" s="70">
        <v>1</v>
      </c>
      <c r="E14" s="65">
        <f>Table32[[#This Row],[Quantity]]*Table32[[#This Row],[Individual Address Occupancy]]</f>
        <v>0</v>
      </c>
      <c r="F14" s="68">
        <v>0.3</v>
      </c>
      <c r="G14" s="48">
        <v>3.5</v>
      </c>
      <c r="H14" s="50">
        <f t="shared" si="1"/>
        <v>0</v>
      </c>
      <c r="I14" s="51">
        <f t="shared" si="0"/>
        <v>0</v>
      </c>
    </row>
    <row r="15" spans="1:9" x14ac:dyDescent="0.25">
      <c r="A15" s="45" t="s">
        <v>17</v>
      </c>
      <c r="B15" s="56" t="s">
        <v>18</v>
      </c>
      <c r="C15" s="73">
        <v>0</v>
      </c>
      <c r="D15" s="70">
        <v>1</v>
      </c>
      <c r="E15" s="65">
        <f>Table32[[#This Row],[Quantity]]*Table32[[#This Row],[Individual Address Occupancy]]</f>
        <v>0</v>
      </c>
      <c r="F15" s="68">
        <v>0.3</v>
      </c>
      <c r="G15" s="48">
        <v>3.5</v>
      </c>
      <c r="H15" s="50">
        <f t="shared" si="1"/>
        <v>0</v>
      </c>
      <c r="I15" s="51">
        <f t="shared" si="0"/>
        <v>0</v>
      </c>
    </row>
    <row r="16" spans="1:9" x14ac:dyDescent="0.25">
      <c r="A16" s="45" t="s">
        <v>17</v>
      </c>
      <c r="B16" s="56" t="s">
        <v>19</v>
      </c>
      <c r="C16" s="73">
        <v>0</v>
      </c>
      <c r="D16" s="70">
        <v>1</v>
      </c>
      <c r="E16" s="65">
        <f>Table32[[#This Row],[Quantity]]*Table32[[#This Row],[Individual Address Occupancy]]</f>
        <v>0</v>
      </c>
      <c r="F16" s="68">
        <v>0.3</v>
      </c>
      <c r="G16" s="48">
        <v>3.5</v>
      </c>
      <c r="H16" s="50">
        <f t="shared" si="1"/>
        <v>0</v>
      </c>
      <c r="I16" s="51">
        <f t="shared" si="0"/>
        <v>0</v>
      </c>
    </row>
    <row r="17" spans="1:9" x14ac:dyDescent="0.25">
      <c r="A17" s="45" t="s">
        <v>17</v>
      </c>
      <c r="B17" s="56" t="s">
        <v>85</v>
      </c>
      <c r="C17" s="73">
        <v>0</v>
      </c>
      <c r="D17" s="70">
        <v>1</v>
      </c>
      <c r="E17" s="96">
        <f>Table3[[#This Row],[Quantity]]*Table3[[#This Row],[Individual Address Occupancy]]</f>
        <v>0</v>
      </c>
      <c r="F17" s="68">
        <v>0.3</v>
      </c>
      <c r="G17" s="48">
        <v>1</v>
      </c>
      <c r="H17" s="50">
        <f>C17*F17</f>
        <v>0</v>
      </c>
      <c r="I17" s="51">
        <f>C17*G17</f>
        <v>0</v>
      </c>
    </row>
    <row r="18" spans="1:9" x14ac:dyDescent="0.25">
      <c r="A18" s="45" t="s">
        <v>17</v>
      </c>
      <c r="B18" s="56" t="s">
        <v>82</v>
      </c>
      <c r="C18" s="73">
        <v>0</v>
      </c>
      <c r="D18" s="70">
        <v>1</v>
      </c>
      <c r="E18" s="96">
        <f>Table3[[#This Row],[Quantity]]*Table3[[#This Row],[Individual Address Occupancy]]</f>
        <v>0</v>
      </c>
      <c r="F18" s="97">
        <v>2</v>
      </c>
      <c r="G18" s="48">
        <v>8.5</v>
      </c>
      <c r="H18" s="50">
        <f>C18*F18</f>
        <v>0</v>
      </c>
      <c r="I18" s="51">
        <f>C18*G18</f>
        <v>0</v>
      </c>
    </row>
    <row r="19" spans="1:9" x14ac:dyDescent="0.25">
      <c r="A19" s="45" t="s">
        <v>24</v>
      </c>
      <c r="B19" s="56" t="s">
        <v>12</v>
      </c>
      <c r="C19" s="73">
        <v>0</v>
      </c>
      <c r="D19" s="70">
        <v>1</v>
      </c>
      <c r="E19" s="65">
        <f>Table32[[#This Row],[Quantity]]*Table32[[#This Row],[Individual Address Occupancy]]</f>
        <v>0</v>
      </c>
      <c r="F19" s="67">
        <v>0.14000000000000001</v>
      </c>
      <c r="G19" s="49">
        <v>3.5</v>
      </c>
      <c r="H19" s="50">
        <f t="shared" si="1"/>
        <v>0</v>
      </c>
      <c r="I19" s="51">
        <f t="shared" si="0"/>
        <v>0</v>
      </c>
    </row>
    <row r="20" spans="1:9" x14ac:dyDescent="0.25">
      <c r="A20" s="45" t="s">
        <v>24</v>
      </c>
      <c r="B20" s="56" t="s">
        <v>15</v>
      </c>
      <c r="C20" s="73">
        <v>0</v>
      </c>
      <c r="D20" s="70">
        <v>1</v>
      </c>
      <c r="E20" s="65">
        <f>Table32[[#This Row],[Quantity]]*Table32[[#This Row],[Individual Address Occupancy]]</f>
        <v>0</v>
      </c>
      <c r="F20" s="67">
        <v>0.16</v>
      </c>
      <c r="G20" s="49">
        <v>7</v>
      </c>
      <c r="H20" s="50">
        <f>C20*F20</f>
        <v>0</v>
      </c>
      <c r="I20" s="51">
        <f t="shared" si="0"/>
        <v>0</v>
      </c>
    </row>
    <row r="21" spans="1:9" x14ac:dyDescent="0.25">
      <c r="A21" s="45" t="s">
        <v>24</v>
      </c>
      <c r="B21" s="56" t="s">
        <v>13</v>
      </c>
      <c r="C21" s="73">
        <v>0</v>
      </c>
      <c r="D21" s="70">
        <v>3</v>
      </c>
      <c r="E21" s="65">
        <f>Table32[[#This Row],[Quantity]]*Table32[[#This Row],[Individual Address Occupancy]]</f>
        <v>0</v>
      </c>
      <c r="F21" s="67">
        <v>0.14000000000000001</v>
      </c>
      <c r="G21" s="49">
        <v>14</v>
      </c>
      <c r="H21" s="50">
        <f t="shared" si="1"/>
        <v>0</v>
      </c>
      <c r="I21" s="51">
        <f t="shared" si="0"/>
        <v>0</v>
      </c>
    </row>
    <row r="22" spans="1:9" x14ac:dyDescent="0.25">
      <c r="A22" s="45" t="s">
        <v>24</v>
      </c>
      <c r="B22" s="56" t="s">
        <v>14</v>
      </c>
      <c r="C22" s="73">
        <v>0</v>
      </c>
      <c r="D22" s="70">
        <v>2</v>
      </c>
      <c r="E22" s="65">
        <f>Table32[[#This Row],[Quantity]]*Table32[[#This Row],[Individual Address Occupancy]]</f>
        <v>0</v>
      </c>
      <c r="F22" s="67">
        <v>0.14000000000000001</v>
      </c>
      <c r="G22" s="49">
        <v>7</v>
      </c>
      <c r="H22" s="50">
        <f t="shared" si="1"/>
        <v>0</v>
      </c>
      <c r="I22" s="51">
        <f t="shared" si="0"/>
        <v>0</v>
      </c>
    </row>
    <row r="23" spans="1:9" x14ac:dyDescent="0.25">
      <c r="A23" s="45" t="s">
        <v>24</v>
      </c>
      <c r="B23" s="56" t="s">
        <v>23</v>
      </c>
      <c r="C23" s="73">
        <v>0</v>
      </c>
      <c r="D23" s="70">
        <v>1</v>
      </c>
      <c r="E23" s="65">
        <f>Table32[[#This Row],[Quantity]]*Table32[[#This Row],[Individual Address Occupancy]]</f>
        <v>0</v>
      </c>
      <c r="F23" s="67">
        <v>0.75</v>
      </c>
      <c r="G23" s="49">
        <v>5.5</v>
      </c>
      <c r="H23" s="50">
        <f t="shared" si="1"/>
        <v>0</v>
      </c>
      <c r="I23" s="51">
        <f t="shared" si="0"/>
        <v>0</v>
      </c>
    </row>
    <row r="24" spans="1:9" x14ac:dyDescent="0.25">
      <c r="A24" s="45" t="s">
        <v>24</v>
      </c>
      <c r="B24" s="56" t="s">
        <v>11</v>
      </c>
      <c r="C24" s="73">
        <v>0</v>
      </c>
      <c r="D24" s="70">
        <v>1</v>
      </c>
      <c r="E24" s="65">
        <f>Table32[[#This Row],[Quantity]]*Table32[[#This Row],[Individual Address Occupancy]]</f>
        <v>0</v>
      </c>
      <c r="F24" s="67">
        <v>0.5</v>
      </c>
      <c r="G24" s="49">
        <v>2.2000000000000002</v>
      </c>
      <c r="H24" s="50">
        <f t="shared" si="1"/>
        <v>0</v>
      </c>
      <c r="I24" s="51">
        <f t="shared" si="0"/>
        <v>0</v>
      </c>
    </row>
    <row r="25" spans="1:9" x14ac:dyDescent="0.25">
      <c r="A25" s="45" t="s">
        <v>25</v>
      </c>
      <c r="B25" s="56" t="s">
        <v>12</v>
      </c>
      <c r="C25" s="73">
        <v>0</v>
      </c>
      <c r="D25" s="70">
        <v>1</v>
      </c>
      <c r="E25" s="65">
        <f>Table32[[#This Row],[Quantity]]*Table32[[#This Row],[Individual Address Occupancy]]</f>
        <v>0</v>
      </c>
      <c r="F25" s="67">
        <v>0.2</v>
      </c>
      <c r="G25" s="49">
        <v>3.5</v>
      </c>
      <c r="H25" s="50">
        <f t="shared" si="1"/>
        <v>0</v>
      </c>
      <c r="I25" s="51">
        <f t="shared" si="0"/>
        <v>0</v>
      </c>
    </row>
    <row r="26" spans="1:9" x14ac:dyDescent="0.25">
      <c r="A26" s="45" t="s">
        <v>25</v>
      </c>
      <c r="B26" s="56" t="s">
        <v>15</v>
      </c>
      <c r="C26" s="73">
        <v>0</v>
      </c>
      <c r="D26" s="70">
        <v>1</v>
      </c>
      <c r="E26" s="65">
        <f>Table32[[#This Row],[Quantity]]*Table32[[#This Row],[Individual Address Occupancy]]</f>
        <v>0</v>
      </c>
      <c r="F26" s="67">
        <v>0.31</v>
      </c>
      <c r="G26" s="49">
        <v>7</v>
      </c>
      <c r="H26" s="50">
        <f t="shared" si="1"/>
        <v>0</v>
      </c>
      <c r="I26" s="51">
        <f t="shared" si="0"/>
        <v>0</v>
      </c>
    </row>
    <row r="27" spans="1:9" x14ac:dyDescent="0.25">
      <c r="A27" s="45" t="s">
        <v>25</v>
      </c>
      <c r="B27" s="56" t="s">
        <v>13</v>
      </c>
      <c r="C27" s="73">
        <v>0</v>
      </c>
      <c r="D27" s="70">
        <v>3</v>
      </c>
      <c r="E27" s="65">
        <f>Table32[[#This Row],[Quantity]]*Table32[[#This Row],[Individual Address Occupancy]]</f>
        <v>0</v>
      </c>
      <c r="F27" s="67">
        <v>0.2</v>
      </c>
      <c r="G27" s="49">
        <v>14</v>
      </c>
      <c r="H27" s="50">
        <f t="shared" si="1"/>
        <v>0</v>
      </c>
      <c r="I27" s="51">
        <f t="shared" si="0"/>
        <v>0</v>
      </c>
    </row>
    <row r="28" spans="1:9" x14ac:dyDescent="0.25">
      <c r="A28" s="45" t="s">
        <v>25</v>
      </c>
      <c r="B28" s="56" t="s">
        <v>14</v>
      </c>
      <c r="C28" s="73">
        <v>0</v>
      </c>
      <c r="D28" s="70">
        <v>2</v>
      </c>
      <c r="E28" s="65">
        <f>Table32[[#This Row],[Quantity]]*Table32[[#This Row],[Individual Address Occupancy]]</f>
        <v>0</v>
      </c>
      <c r="F28" s="67">
        <v>0.2</v>
      </c>
      <c r="G28" s="49">
        <v>7</v>
      </c>
      <c r="H28" s="50">
        <f t="shared" si="1"/>
        <v>0</v>
      </c>
      <c r="I28" s="51">
        <f t="shared" si="0"/>
        <v>0</v>
      </c>
    </row>
    <row r="29" spans="1:9" x14ac:dyDescent="0.25">
      <c r="A29" s="45" t="s">
        <v>25</v>
      </c>
      <c r="B29" s="56" t="s">
        <v>23</v>
      </c>
      <c r="C29" s="73">
        <v>0</v>
      </c>
      <c r="D29" s="70">
        <v>1</v>
      </c>
      <c r="E29" s="65">
        <f>Table32[[#This Row],[Quantity]]*Table32[[#This Row],[Individual Address Occupancy]]</f>
        <v>0</v>
      </c>
      <c r="F29" s="67">
        <v>0.75</v>
      </c>
      <c r="G29" s="49">
        <v>5.5</v>
      </c>
      <c r="H29" s="50">
        <f t="shared" si="1"/>
        <v>0</v>
      </c>
      <c r="I29" s="51">
        <f t="shared" si="0"/>
        <v>0</v>
      </c>
    </row>
    <row r="30" spans="1:9" x14ac:dyDescent="0.25">
      <c r="A30" s="45" t="s">
        <v>25</v>
      </c>
      <c r="B30" s="56" t="s">
        <v>11</v>
      </c>
      <c r="C30" s="73">
        <v>0</v>
      </c>
      <c r="D30" s="70">
        <v>1</v>
      </c>
      <c r="E30" s="65">
        <f>Table32[[#This Row],[Quantity]]*Table32[[#This Row],[Individual Address Occupancy]]</f>
        <v>0</v>
      </c>
      <c r="F30" s="67">
        <v>0.5</v>
      </c>
      <c r="G30" s="49">
        <v>2.2000000000000002</v>
      </c>
      <c r="H30" s="50">
        <f t="shared" si="1"/>
        <v>0</v>
      </c>
      <c r="I30" s="51">
        <f t="shared" si="0"/>
        <v>0</v>
      </c>
    </row>
    <row r="31" spans="1:9" x14ac:dyDescent="0.25">
      <c r="A31" s="45" t="s">
        <v>25</v>
      </c>
      <c r="B31" s="56" t="s">
        <v>27</v>
      </c>
      <c r="C31" s="73">
        <v>0</v>
      </c>
      <c r="D31" s="70">
        <v>1</v>
      </c>
      <c r="E31" s="65">
        <f>Table32[[#This Row],[Quantity]]*Table32[[#This Row],[Individual Address Occupancy]]</f>
        <v>0</v>
      </c>
      <c r="F31" s="67">
        <v>0.11</v>
      </c>
      <c r="G31" s="49">
        <v>3.5</v>
      </c>
      <c r="H31" s="50">
        <f t="shared" si="1"/>
        <v>0</v>
      </c>
      <c r="I31" s="51">
        <f t="shared" si="0"/>
        <v>0</v>
      </c>
    </row>
    <row r="32" spans="1:9" x14ac:dyDescent="0.25">
      <c r="A32" s="45" t="s">
        <v>28</v>
      </c>
      <c r="B32" s="56" t="s">
        <v>29</v>
      </c>
      <c r="C32" s="73">
        <v>0</v>
      </c>
      <c r="D32" s="70">
        <v>6</v>
      </c>
      <c r="E32" s="65">
        <f>Table32[[#This Row],[Quantity]]*Table32[[#This Row],[Individual Address Occupancy]]</f>
        <v>0</v>
      </c>
      <c r="F32" s="67">
        <v>1.49</v>
      </c>
      <c r="G32" s="49">
        <v>36</v>
      </c>
      <c r="H32" s="50">
        <f t="shared" si="1"/>
        <v>0</v>
      </c>
      <c r="I32" s="51">
        <f t="shared" si="0"/>
        <v>0</v>
      </c>
    </row>
    <row r="33" spans="1:9" x14ac:dyDescent="0.25">
      <c r="A33" s="45" t="s">
        <v>28</v>
      </c>
      <c r="B33" s="56" t="s">
        <v>30</v>
      </c>
      <c r="C33" s="73">
        <v>0</v>
      </c>
      <c r="D33" s="70">
        <v>6</v>
      </c>
      <c r="E33" s="65">
        <f>Table32[[#This Row],[Quantity]]*Table32[[#This Row],[Individual Address Occupancy]]</f>
        <v>0</v>
      </c>
      <c r="F33" s="67">
        <v>2.34</v>
      </c>
      <c r="G33" s="49">
        <v>36</v>
      </c>
      <c r="H33" s="50">
        <f t="shared" si="1"/>
        <v>0</v>
      </c>
      <c r="I33" s="51">
        <f t="shared" si="0"/>
        <v>0</v>
      </c>
    </row>
    <row r="34" spans="1:9" x14ac:dyDescent="0.25">
      <c r="A34" s="45" t="s">
        <v>28</v>
      </c>
      <c r="B34" s="56" t="s">
        <v>32</v>
      </c>
      <c r="C34" s="73">
        <v>0</v>
      </c>
      <c r="D34" s="70">
        <v>10</v>
      </c>
      <c r="E34" s="65">
        <f>Table32[[#This Row],[Quantity]]*Table32[[#This Row],[Individual Address Occupancy]]</f>
        <v>0</v>
      </c>
      <c r="F34" s="67">
        <v>3.5</v>
      </c>
      <c r="G34" s="49">
        <v>60</v>
      </c>
      <c r="H34" s="50">
        <f t="shared" si="1"/>
        <v>0</v>
      </c>
      <c r="I34" s="51">
        <f t="shared" si="0"/>
        <v>0</v>
      </c>
    </row>
    <row r="35" spans="1:9" x14ac:dyDescent="0.25">
      <c r="A35" s="45" t="s">
        <v>28</v>
      </c>
      <c r="B35" s="56" t="s">
        <v>31</v>
      </c>
      <c r="C35" s="73">
        <v>0</v>
      </c>
      <c r="D35" s="70">
        <v>6</v>
      </c>
      <c r="E35" s="65">
        <f>Table32[[#This Row],[Quantity]]*Table32[[#This Row],[Individual Address Occupancy]]</f>
        <v>0</v>
      </c>
      <c r="F35" s="67">
        <v>2.04</v>
      </c>
      <c r="G35" s="49">
        <v>40</v>
      </c>
      <c r="H35" s="50">
        <f t="shared" si="1"/>
        <v>0</v>
      </c>
      <c r="I35" s="51">
        <f t="shared" si="0"/>
        <v>0</v>
      </c>
    </row>
    <row r="36" spans="1:9" x14ac:dyDescent="0.25">
      <c r="A36" s="45" t="s">
        <v>33</v>
      </c>
      <c r="B36" s="56" t="s">
        <v>34</v>
      </c>
      <c r="C36" s="73">
        <v>0</v>
      </c>
      <c r="D36" s="70">
        <v>1</v>
      </c>
      <c r="E36" s="65">
        <f>Table32[[#This Row],[Quantity]]*Table32[[#This Row],[Individual Address Occupancy]]</f>
        <v>0</v>
      </c>
      <c r="F36" s="67">
        <v>0.12</v>
      </c>
      <c r="G36" s="49">
        <v>7</v>
      </c>
      <c r="H36" s="50">
        <f t="shared" si="1"/>
        <v>0</v>
      </c>
      <c r="I36" s="51">
        <f t="shared" si="0"/>
        <v>0</v>
      </c>
    </row>
    <row r="37" spans="1:9" x14ac:dyDescent="0.25">
      <c r="A37" s="45" t="s">
        <v>33</v>
      </c>
      <c r="B37" s="56" t="s">
        <v>35</v>
      </c>
      <c r="C37" s="73">
        <v>0</v>
      </c>
      <c r="D37" s="70">
        <v>1</v>
      </c>
      <c r="E37" s="65">
        <f>Table32[[#This Row],[Quantity]]*Table32[[#This Row],[Individual Address Occupancy]]</f>
        <v>0</v>
      </c>
      <c r="F37" s="67">
        <v>0.12</v>
      </c>
      <c r="G37" s="49">
        <v>7</v>
      </c>
      <c r="H37" s="50">
        <f t="shared" si="1"/>
        <v>0</v>
      </c>
      <c r="I37" s="51">
        <f t="shared" si="0"/>
        <v>0</v>
      </c>
    </row>
    <row r="38" spans="1:9" x14ac:dyDescent="0.25">
      <c r="A38" s="45" t="s">
        <v>36</v>
      </c>
      <c r="B38" s="56" t="s">
        <v>37</v>
      </c>
      <c r="C38" s="73">
        <v>0</v>
      </c>
      <c r="D38" s="70">
        <v>1</v>
      </c>
      <c r="E38" s="65">
        <f>Table32[[#This Row],[Quantity]]*Table32[[#This Row],[Individual Address Occupancy]]</f>
        <v>0</v>
      </c>
      <c r="F38" s="67">
        <v>0.22500000000000001</v>
      </c>
      <c r="G38" s="49">
        <v>11.4</v>
      </c>
      <c r="H38" s="50">
        <f t="shared" si="1"/>
        <v>0</v>
      </c>
      <c r="I38" s="51">
        <f t="shared" si="0"/>
        <v>0</v>
      </c>
    </row>
    <row r="39" spans="1:9" x14ac:dyDescent="0.25">
      <c r="A39" s="45" t="s">
        <v>36</v>
      </c>
      <c r="B39" s="56" t="s">
        <v>38</v>
      </c>
      <c r="C39" s="73">
        <v>0</v>
      </c>
      <c r="D39" s="70">
        <v>1</v>
      </c>
      <c r="E39" s="65">
        <f>Table32[[#This Row],[Quantity]]*Table32[[#This Row],[Individual Address Occupancy]]</f>
        <v>0</v>
      </c>
      <c r="F39" s="67">
        <v>0.22500000000000001</v>
      </c>
      <c r="G39" s="49">
        <v>14.5</v>
      </c>
      <c r="H39" s="50">
        <f t="shared" si="1"/>
        <v>0</v>
      </c>
      <c r="I39" s="51">
        <f t="shared" si="0"/>
        <v>0</v>
      </c>
    </row>
    <row r="40" spans="1:9" x14ac:dyDescent="0.25">
      <c r="A40" s="45" t="s">
        <v>36</v>
      </c>
      <c r="B40" s="56" t="s">
        <v>46</v>
      </c>
      <c r="C40" s="73">
        <v>0</v>
      </c>
      <c r="D40" s="70">
        <v>1</v>
      </c>
      <c r="E40" s="65">
        <f>Table32[[#This Row],[Quantity]]*Table32[[#This Row],[Individual Address Occupancy]]</f>
        <v>0</v>
      </c>
      <c r="F40" s="67">
        <v>0.22500000000000001</v>
      </c>
      <c r="G40" s="49">
        <v>5.4</v>
      </c>
      <c r="H40" s="50">
        <f t="shared" si="1"/>
        <v>0</v>
      </c>
      <c r="I40" s="51">
        <f t="shared" si="0"/>
        <v>0</v>
      </c>
    </row>
    <row r="41" spans="1:9" x14ac:dyDescent="0.25">
      <c r="A41" s="45" t="s">
        <v>36</v>
      </c>
      <c r="B41" s="56" t="s">
        <v>39</v>
      </c>
      <c r="C41" s="73">
        <v>0</v>
      </c>
      <c r="D41" s="70">
        <v>1</v>
      </c>
      <c r="E41" s="65">
        <f>Table32[[#This Row],[Quantity]]*Table32[[#This Row],[Individual Address Occupancy]]</f>
        <v>0</v>
      </c>
      <c r="F41" s="67">
        <v>0.22500000000000001</v>
      </c>
      <c r="G41" s="49">
        <v>10.5</v>
      </c>
      <c r="H41" s="50">
        <f t="shared" si="1"/>
        <v>0</v>
      </c>
      <c r="I41" s="51">
        <f t="shared" si="0"/>
        <v>0</v>
      </c>
    </row>
    <row r="42" spans="1:9" x14ac:dyDescent="0.25">
      <c r="A42" s="45" t="s">
        <v>36</v>
      </c>
      <c r="B42" s="56" t="s">
        <v>42</v>
      </c>
      <c r="C42" s="73">
        <v>0</v>
      </c>
      <c r="D42" s="70">
        <v>1</v>
      </c>
      <c r="E42" s="65">
        <f>Table32[[#This Row],[Quantity]]*Table32[[#This Row],[Individual Address Occupancy]]</f>
        <v>0</v>
      </c>
      <c r="F42" s="67">
        <v>0.15</v>
      </c>
      <c r="G42" s="49">
        <v>15</v>
      </c>
      <c r="H42" s="50">
        <f t="shared" si="1"/>
        <v>0</v>
      </c>
      <c r="I42" s="51">
        <f t="shared" si="0"/>
        <v>0</v>
      </c>
    </row>
    <row r="43" spans="1:9" x14ac:dyDescent="0.25">
      <c r="A43" s="45" t="s">
        <v>36</v>
      </c>
      <c r="B43" s="56" t="s">
        <v>41</v>
      </c>
      <c r="C43" s="73">
        <v>0</v>
      </c>
      <c r="D43" s="70">
        <v>1</v>
      </c>
      <c r="E43" s="65">
        <f>Table32[[#This Row],[Quantity]]*Table32[[#This Row],[Individual Address Occupancy]]</f>
        <v>0</v>
      </c>
      <c r="F43" s="67">
        <v>0.22500000000000001</v>
      </c>
      <c r="G43" s="49">
        <v>3.5</v>
      </c>
      <c r="H43" s="50">
        <f t="shared" si="1"/>
        <v>0</v>
      </c>
      <c r="I43" s="51">
        <f t="shared" si="0"/>
        <v>0</v>
      </c>
    </row>
    <row r="44" spans="1:9" x14ac:dyDescent="0.25">
      <c r="A44" s="45" t="s">
        <v>36</v>
      </c>
      <c r="B44" s="56" t="s">
        <v>40</v>
      </c>
      <c r="C44" s="73">
        <v>0</v>
      </c>
      <c r="D44" s="70">
        <v>1</v>
      </c>
      <c r="E44" s="65">
        <f>Table32[[#This Row],[Quantity]]*Table32[[#This Row],[Individual Address Occupancy]]</f>
        <v>0</v>
      </c>
      <c r="F44" s="67">
        <v>0.45</v>
      </c>
      <c r="G44" s="49">
        <v>10</v>
      </c>
      <c r="H44" s="50">
        <f t="shared" si="1"/>
        <v>0</v>
      </c>
      <c r="I44" s="51">
        <f t="shared" si="0"/>
        <v>0</v>
      </c>
    </row>
    <row r="45" spans="1:9" x14ac:dyDescent="0.25">
      <c r="A45" s="45" t="s">
        <v>36</v>
      </c>
      <c r="B45" s="56" t="s">
        <v>43</v>
      </c>
      <c r="C45" s="73">
        <v>0</v>
      </c>
      <c r="D45" s="70">
        <v>1</v>
      </c>
      <c r="E45" s="65">
        <f>Table32[[#This Row],[Quantity]]*Table32[[#This Row],[Individual Address Occupancy]]</f>
        <v>0</v>
      </c>
      <c r="F45" s="67">
        <v>0.15</v>
      </c>
      <c r="G45" s="49">
        <v>27</v>
      </c>
      <c r="H45" s="50">
        <f t="shared" si="1"/>
        <v>0</v>
      </c>
      <c r="I45" s="51">
        <f t="shared" si="0"/>
        <v>0</v>
      </c>
    </row>
    <row r="46" spans="1:9" x14ac:dyDescent="0.25">
      <c r="A46" s="45" t="s">
        <v>36</v>
      </c>
      <c r="B46" s="56" t="s">
        <v>44</v>
      </c>
      <c r="C46" s="73">
        <v>0</v>
      </c>
      <c r="D46" s="70">
        <v>1</v>
      </c>
      <c r="E46" s="65">
        <f>Table32[[#This Row],[Quantity]]*Table32[[#This Row],[Individual Address Occupancy]]</f>
        <v>0</v>
      </c>
      <c r="F46" s="67">
        <v>0.15</v>
      </c>
      <c r="G46" s="49">
        <v>18.5</v>
      </c>
      <c r="H46" s="50">
        <f t="shared" si="1"/>
        <v>0</v>
      </c>
      <c r="I46" s="51">
        <f t="shared" si="0"/>
        <v>0</v>
      </c>
    </row>
    <row r="47" spans="1:9" ht="15.75" thickBot="1" x14ac:dyDescent="0.3">
      <c r="A47" s="46" t="s">
        <v>36</v>
      </c>
      <c r="B47" s="57" t="s">
        <v>45</v>
      </c>
      <c r="C47" s="74">
        <v>0</v>
      </c>
      <c r="D47" s="75">
        <v>1</v>
      </c>
      <c r="E47" s="76">
        <f>Table32[[#This Row],[Quantity]]*Table32[[#This Row],[Individual Address Occupancy]]</f>
        <v>0</v>
      </c>
      <c r="F47" s="69">
        <v>0.15</v>
      </c>
      <c r="G47" s="52">
        <v>8</v>
      </c>
      <c r="H47" s="53">
        <f t="shared" si="1"/>
        <v>0</v>
      </c>
      <c r="I47" s="54">
        <f t="shared" si="0"/>
        <v>0</v>
      </c>
    </row>
  </sheetData>
  <dataValidations count="1">
    <dataValidation type="custom" allowBlank="1" showErrorMessage="1" errorTitle="Value Error" error="Must be lower than total number of devices" sqref="D2" xr:uid="{1521350F-9EE8-4993-919A-7F186F47B638}">
      <formula1>D2&lt;=SUM(C4:C1048576)</formula1>
    </dataValidation>
  </dataValidations>
  <pageMargins left="0.7" right="0.7" top="0.75" bottom="0.75" header="0.3" footer="0.3"/>
  <pageSetup paperSize="9" orientation="portrait" r:id="rId1"/>
  <customProperties>
    <customPr name="_pios_id" r:id="rId2"/>
  </customProperties>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5DD7BE4E-156A-4FC1-9283-C0A9F72F3C23}">
          <x14:formula1>
            <xm:f>Loop_Lenght_Section_Selection!$A$1:$A$15</xm:f>
          </x14:formula1>
          <xm:sqref>B1</xm:sqref>
        </x14:dataValidation>
        <x14:dataValidation type="list" allowBlank="1" showInputMessage="1" showErrorMessage="1" xr:uid="{B00E1766-51D2-4F84-9F7D-48A825B94013}">
          <x14:formula1>
            <xm:f>Loop_Lenght_Section_Selection!$C$1:$C$4</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AC441-9115-400C-98AE-BFA234FF414D}">
  <dimension ref="A1:I18"/>
  <sheetViews>
    <sheetView workbookViewId="0">
      <selection activeCell="E19" sqref="E19"/>
    </sheetView>
  </sheetViews>
  <sheetFormatPr defaultRowHeight="15" x14ac:dyDescent="0.25"/>
  <cols>
    <col min="7" max="7" width="45.28515625" customWidth="1"/>
    <col min="8" max="8" width="24.28515625" customWidth="1"/>
    <col min="9" max="9" width="32" customWidth="1"/>
  </cols>
  <sheetData>
    <row r="1" spans="1:9" x14ac:dyDescent="0.25">
      <c r="A1">
        <v>100</v>
      </c>
      <c r="C1">
        <v>0.5</v>
      </c>
      <c r="E1" s="118" t="s">
        <v>104</v>
      </c>
      <c r="F1" s="118"/>
      <c r="G1" s="3" t="s">
        <v>105</v>
      </c>
      <c r="I1" s="111" t="s">
        <v>106</v>
      </c>
    </row>
    <row r="2" spans="1:9" x14ac:dyDescent="0.25">
      <c r="A2">
        <v>200</v>
      </c>
      <c r="C2" s="101">
        <v>1</v>
      </c>
      <c r="E2" s="106" t="s">
        <v>102</v>
      </c>
      <c r="F2" s="106" t="s">
        <v>103</v>
      </c>
      <c r="G2" s="3">
        <v>9</v>
      </c>
      <c r="I2" s="112">
        <v>0.17</v>
      </c>
    </row>
    <row r="3" spans="1:9" x14ac:dyDescent="0.25">
      <c r="A3">
        <v>300</v>
      </c>
      <c r="C3">
        <v>1.5</v>
      </c>
      <c r="E3" s="107">
        <f>IF(ISBLANK('Loop 1 Field Devices'!D1),'Loop 1 Field Devices'!B1/(56*'Loop 1 Field Devices'!B2),'Loop 1 Field Devices'!D1)</f>
        <v>17.857142857142858</v>
      </c>
      <c r="F3" s="107">
        <f>IF(ISBLANK('Loop 2 Field Devices'!D1),'Loop 2 Field Devices'!B1/(56*'Loop 2 Field Devices'!B2),'Loop 2 Field Devices'!D1)</f>
        <v>17.857142857142858</v>
      </c>
    </row>
    <row r="4" spans="1:9" x14ac:dyDescent="0.25">
      <c r="A4">
        <v>400</v>
      </c>
      <c r="C4">
        <v>2.5</v>
      </c>
    </row>
    <row r="5" spans="1:9" x14ac:dyDescent="0.25">
      <c r="A5">
        <v>500</v>
      </c>
    </row>
    <row r="6" spans="1:9" x14ac:dyDescent="0.25">
      <c r="A6">
        <v>600</v>
      </c>
    </row>
    <row r="7" spans="1:9" x14ac:dyDescent="0.25">
      <c r="A7">
        <v>700</v>
      </c>
      <c r="G7" s="108" t="s">
        <v>114</v>
      </c>
      <c r="H7" s="109">
        <f>Loop_Lenght_Section_Selection!G2*1000/((2*Loop_Lenght_Section_Selection!E3)+(Loop_Lenght_Section_Selection!I2*'Loop 1 Field Devices'!D2))</f>
        <v>252</v>
      </c>
    </row>
    <row r="8" spans="1:9" x14ac:dyDescent="0.25">
      <c r="A8">
        <v>800</v>
      </c>
      <c r="G8" s="14" t="s">
        <v>115</v>
      </c>
      <c r="H8" s="110">
        <f>1000*Loop_Lenght_Section_Selection!G2/((2*Loop_Lenght_Section_Selection!F3)+(Loop_Lenght_Section_Selection!I2*'Loop 2 Field Devices'!D2))</f>
        <v>252</v>
      </c>
    </row>
    <row r="9" spans="1:9" x14ac:dyDescent="0.25">
      <c r="A9">
        <v>900</v>
      </c>
    </row>
    <row r="10" spans="1:9" x14ac:dyDescent="0.25">
      <c r="A10">
        <v>1000</v>
      </c>
    </row>
    <row r="11" spans="1:9" x14ac:dyDescent="0.25">
      <c r="A11">
        <v>1100</v>
      </c>
      <c r="G11" t="s">
        <v>107</v>
      </c>
      <c r="H11">
        <v>7</v>
      </c>
    </row>
    <row r="12" spans="1:9" x14ac:dyDescent="0.25">
      <c r="A12">
        <v>1200</v>
      </c>
    </row>
    <row r="13" spans="1:9" x14ac:dyDescent="0.25">
      <c r="A13">
        <v>1300</v>
      </c>
    </row>
    <row r="14" spans="1:9" x14ac:dyDescent="0.25">
      <c r="A14">
        <v>1400</v>
      </c>
    </row>
    <row r="15" spans="1:9" x14ac:dyDescent="0.25">
      <c r="A15">
        <v>1500</v>
      </c>
      <c r="G15" t="s">
        <v>108</v>
      </c>
      <c r="H15">
        <v>6</v>
      </c>
    </row>
    <row r="16" spans="1:9" x14ac:dyDescent="0.25">
      <c r="G16" t="s">
        <v>109</v>
      </c>
      <c r="H16">
        <v>5</v>
      </c>
    </row>
    <row r="18" spans="7:8" x14ac:dyDescent="0.25">
      <c r="G18" t="s">
        <v>110</v>
      </c>
      <c r="H18">
        <v>15</v>
      </c>
    </row>
  </sheetData>
  <mergeCells count="1">
    <mergeCell ref="E1:F1"/>
  </mergeCells>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BD4B-1800-4B5D-A371-9B5FC3503A48}">
  <sheetPr>
    <tabColor rgb="FF00B050"/>
  </sheetPr>
  <dimension ref="A1:L36"/>
  <sheetViews>
    <sheetView zoomScale="135" zoomScaleNormal="145" workbookViewId="0">
      <pane ySplit="2" topLeftCell="A3" activePane="bottomLeft" state="frozen"/>
      <selection pane="bottomLeft" activeCell="B34" sqref="B34"/>
    </sheetView>
  </sheetViews>
  <sheetFormatPr defaultRowHeight="15" x14ac:dyDescent="0.25"/>
  <cols>
    <col min="1" max="1" width="1.5703125" customWidth="1"/>
    <col min="2" max="2" width="72.42578125" bestFit="1" customWidth="1"/>
    <col min="3" max="3" width="9" style="3" customWidth="1"/>
    <col min="4" max="4" width="19.5703125" bestFit="1" customWidth="1"/>
    <col min="5" max="6" width="14.7109375" customWidth="1"/>
    <col min="7" max="7" width="14.5703125" customWidth="1"/>
    <col min="8" max="8" width="1.5703125" customWidth="1"/>
    <col min="12" max="12" width="11.7109375" bestFit="1" customWidth="1"/>
  </cols>
  <sheetData>
    <row r="1" spans="1:12" ht="19.5" thickBot="1" x14ac:dyDescent="0.35">
      <c r="A1" s="11"/>
      <c r="B1" s="120" t="s">
        <v>64</v>
      </c>
      <c r="C1" s="120"/>
      <c r="D1" s="120"/>
      <c r="E1" s="120"/>
      <c r="F1" s="120"/>
      <c r="G1" s="120"/>
      <c r="H1" s="11"/>
    </row>
    <row r="2" spans="1:12" s="2" customFormat="1" ht="45.75" thickBot="1" x14ac:dyDescent="0.3">
      <c r="A2" s="27"/>
      <c r="B2" s="24" t="s">
        <v>0</v>
      </c>
      <c r="C2" s="62" t="s">
        <v>1</v>
      </c>
      <c r="D2" s="25" t="s">
        <v>4</v>
      </c>
      <c r="E2" s="25" t="s">
        <v>5</v>
      </c>
      <c r="F2" s="26" t="s">
        <v>6</v>
      </c>
      <c r="G2" s="28" t="s">
        <v>7</v>
      </c>
      <c r="H2" s="27"/>
    </row>
    <row r="3" spans="1:12" x14ac:dyDescent="0.25">
      <c r="A3" s="18"/>
      <c r="B3" s="14" t="s">
        <v>52</v>
      </c>
      <c r="C3" s="39"/>
      <c r="D3" s="39"/>
      <c r="E3" s="43">
        <v>70</v>
      </c>
      <c r="F3" s="39"/>
      <c r="G3" s="44">
        <f>E3+25+17.5</f>
        <v>112.5</v>
      </c>
      <c r="H3" s="18"/>
    </row>
    <row r="4" spans="1:12" ht="5.0999999999999996" customHeight="1" x14ac:dyDescent="0.25">
      <c r="A4" s="11"/>
      <c r="D4" s="30"/>
      <c r="E4" s="30"/>
      <c r="F4" s="30"/>
      <c r="G4" s="30"/>
      <c r="H4" s="11"/>
    </row>
    <row r="5" spans="1:12" x14ac:dyDescent="0.25">
      <c r="A5" s="13"/>
      <c r="B5" s="16" t="s">
        <v>69</v>
      </c>
      <c r="C5" s="19">
        <v>1</v>
      </c>
      <c r="D5" s="91">
        <v>50</v>
      </c>
      <c r="E5" s="91">
        <f>C5*D5</f>
        <v>50</v>
      </c>
      <c r="F5" s="95">
        <v>50</v>
      </c>
      <c r="G5" s="92">
        <f>C5*F5</f>
        <v>50</v>
      </c>
      <c r="H5" s="13"/>
    </row>
    <row r="6" spans="1:12" ht="5.0999999999999996" customHeight="1" x14ac:dyDescent="0.25">
      <c r="A6" s="11"/>
      <c r="D6" s="30"/>
      <c r="E6" s="30"/>
      <c r="F6" s="30"/>
      <c r="G6" s="30"/>
      <c r="H6" s="11"/>
    </row>
    <row r="7" spans="1:12" x14ac:dyDescent="0.25">
      <c r="A7" s="13"/>
      <c r="B7" s="35" t="s">
        <v>65</v>
      </c>
      <c r="C7" s="19">
        <v>1</v>
      </c>
      <c r="D7" s="36">
        <v>0</v>
      </c>
      <c r="E7" s="36">
        <f t="shared" ref="E7" si="0">C7*D7</f>
        <v>0</v>
      </c>
      <c r="F7" s="37">
        <v>45</v>
      </c>
      <c r="G7" s="38">
        <f t="shared" ref="G7" si="1">C7*F7</f>
        <v>45</v>
      </c>
      <c r="H7" s="13"/>
    </row>
    <row r="8" spans="1:12" ht="5.0999999999999996" customHeight="1" x14ac:dyDescent="0.25">
      <c r="A8" s="11"/>
      <c r="D8" s="30"/>
      <c r="E8" s="30"/>
      <c r="F8" s="30"/>
      <c r="G8" s="30"/>
      <c r="H8" s="11"/>
    </row>
    <row r="9" spans="1:12" x14ac:dyDescent="0.25">
      <c r="A9" s="13"/>
      <c r="B9" s="35" t="s">
        <v>66</v>
      </c>
      <c r="C9" s="19">
        <v>1</v>
      </c>
      <c r="D9" s="36">
        <v>0</v>
      </c>
      <c r="E9" s="36">
        <f t="shared" ref="E9" si="2">C9*D9</f>
        <v>0</v>
      </c>
      <c r="F9" s="37">
        <v>45</v>
      </c>
      <c r="G9" s="38">
        <f t="shared" ref="G9" si="3">C9*F9</f>
        <v>45</v>
      </c>
      <c r="H9" s="13"/>
    </row>
    <row r="10" spans="1:12" ht="5.0999999999999996" customHeight="1" x14ac:dyDescent="0.25">
      <c r="A10" s="11"/>
      <c r="D10" s="30"/>
      <c r="E10" s="30"/>
      <c r="F10" s="30"/>
      <c r="G10" s="30"/>
      <c r="H10" s="11"/>
    </row>
    <row r="11" spans="1:12" x14ac:dyDescent="0.25">
      <c r="A11" s="20"/>
      <c r="B11" s="88" t="s">
        <v>67</v>
      </c>
      <c r="C11" s="89"/>
      <c r="D11" s="89"/>
      <c r="E11" s="90">
        <f>SUM(E3+E5+E7+E9)</f>
        <v>120</v>
      </c>
      <c r="F11" s="89"/>
      <c r="G11" s="90">
        <f>SUM(G3+G5+G7+G9)</f>
        <v>252.5</v>
      </c>
      <c r="H11" s="20"/>
    </row>
    <row r="12" spans="1:12" ht="5.0999999999999996" customHeight="1" x14ac:dyDescent="0.25">
      <c r="A12" s="11"/>
      <c r="D12" s="30"/>
      <c r="E12" s="30"/>
      <c r="F12" s="30"/>
      <c r="G12" s="30"/>
      <c r="H12" s="11"/>
    </row>
    <row r="13" spans="1:12" x14ac:dyDescent="0.25">
      <c r="A13" s="20"/>
      <c r="B13" s="16" t="s">
        <v>77</v>
      </c>
      <c r="C13" s="87">
        <f>'Loop 1 Field Devices'!E2</f>
        <v>0</v>
      </c>
      <c r="D13" s="39"/>
      <c r="E13" s="40">
        <f>'Loop 1 Field Devices'!H2</f>
        <v>0</v>
      </c>
      <c r="F13" s="39"/>
      <c r="G13" s="39"/>
      <c r="H13" s="20"/>
      <c r="L13" s="30"/>
    </row>
    <row r="14" spans="1:12" ht="5.0999999999999996" customHeight="1" x14ac:dyDescent="0.25">
      <c r="A14" s="18"/>
      <c r="B14" s="21"/>
      <c r="C14" s="17"/>
      <c r="D14" s="32"/>
      <c r="E14" s="32"/>
      <c r="F14" s="32"/>
      <c r="G14" s="32"/>
      <c r="H14" s="18"/>
    </row>
    <row r="15" spans="1:12" x14ac:dyDescent="0.25">
      <c r="A15" s="20"/>
      <c r="B15" s="16" t="s">
        <v>78</v>
      </c>
      <c r="C15" s="87">
        <f>'Loop 2 Field Devices'!E2</f>
        <v>0</v>
      </c>
      <c r="D15" s="39"/>
      <c r="E15" s="40">
        <f>'Loop 2 Field Devices'!H2</f>
        <v>0</v>
      </c>
      <c r="F15" s="39"/>
      <c r="G15" s="39"/>
      <c r="H15" s="20"/>
    </row>
    <row r="16" spans="1:12" ht="5.0999999999999996" customHeight="1" x14ac:dyDescent="0.25">
      <c r="A16" s="18"/>
      <c r="B16" s="21"/>
      <c r="C16" s="17"/>
      <c r="D16" s="32"/>
      <c r="E16" s="32"/>
      <c r="F16" s="32"/>
      <c r="G16" s="32"/>
      <c r="H16" s="18"/>
    </row>
    <row r="17" spans="1:10" x14ac:dyDescent="0.25">
      <c r="A17" s="20"/>
      <c r="B17" s="16" t="s">
        <v>87</v>
      </c>
      <c r="C17" s="60">
        <f>SUM('Loop 1 Field Devices'!$C$38:$C$47)</f>
        <v>0</v>
      </c>
      <c r="D17" s="39"/>
      <c r="E17" s="39"/>
      <c r="F17" s="39"/>
      <c r="G17" s="31">
        <f>SUM('Loop 1 Field Devices'!I38:I47)</f>
        <v>0</v>
      </c>
      <c r="H17" s="20"/>
    </row>
    <row r="18" spans="1:10" s="4" customFormat="1" ht="5.0999999999999996" customHeight="1" x14ac:dyDescent="0.25">
      <c r="A18" s="7"/>
      <c r="C18" s="5"/>
      <c r="E18" s="6"/>
      <c r="G18" s="6"/>
      <c r="H18" s="7"/>
    </row>
    <row r="19" spans="1:10" x14ac:dyDescent="0.25">
      <c r="A19" s="20"/>
      <c r="B19" s="16" t="s">
        <v>88</v>
      </c>
      <c r="C19" s="60">
        <f>SUM('Loop 2 Field Devices'!$C$38:$C$47)</f>
        <v>0</v>
      </c>
      <c r="D19" s="39"/>
      <c r="E19" s="39"/>
      <c r="F19" s="39"/>
      <c r="G19" s="31">
        <f>SUM('Loop 2 Field Devices'!I38:I47)</f>
        <v>0</v>
      </c>
      <c r="H19" s="20"/>
    </row>
    <row r="20" spans="1:10" s="4" customFormat="1" ht="5.0999999999999996" customHeight="1" x14ac:dyDescent="0.25">
      <c r="A20" s="7"/>
      <c r="C20" s="5"/>
      <c r="E20" s="6"/>
      <c r="G20" s="6"/>
      <c r="H20" s="7"/>
    </row>
    <row r="21" spans="1:10" s="1" customFormat="1" x14ac:dyDescent="0.25">
      <c r="A21" s="7"/>
      <c r="B21" s="8" t="s">
        <v>94</v>
      </c>
      <c r="C21" s="34"/>
      <c r="D21" s="99" t="str">
        <f>IF((E21)&lt;=MIN(Loop_Lenght_Section_Selection!H7,480),"In System Limits","Above System Limits")</f>
        <v>In System Limits</v>
      </c>
      <c r="E21" s="123">
        <f>E13+G17</f>
        <v>0</v>
      </c>
      <c r="F21" s="123"/>
      <c r="G21" s="123"/>
      <c r="H21" s="7"/>
      <c r="J21" s="113"/>
    </row>
    <row r="22" spans="1:10" s="4" customFormat="1" ht="5.0999999999999996" customHeight="1" x14ac:dyDescent="0.25">
      <c r="A22" s="7"/>
      <c r="C22" s="5"/>
      <c r="E22" s="6"/>
      <c r="G22" s="6"/>
      <c r="H22" s="7"/>
    </row>
    <row r="23" spans="1:10" s="1" customFormat="1" x14ac:dyDescent="0.25">
      <c r="A23" s="7"/>
      <c r="B23" s="8" t="s">
        <v>95</v>
      </c>
      <c r="C23" s="34"/>
      <c r="D23" s="99" t="str">
        <f>IF((E23)&lt;=MIN(Loop_Lenght_Section_Selection!H8,480),"In System Limits","Above System Limits")</f>
        <v>In System Limits</v>
      </c>
      <c r="E23" s="123">
        <f>E15+G19</f>
        <v>0</v>
      </c>
      <c r="F23" s="123"/>
      <c r="G23" s="123"/>
      <c r="H23" s="7"/>
    </row>
    <row r="24" spans="1:10" s="4" customFormat="1" ht="5.0999999999999996" customHeight="1" x14ac:dyDescent="0.25">
      <c r="A24" s="7"/>
      <c r="C24" s="5"/>
      <c r="E24" s="6"/>
      <c r="G24" s="6"/>
      <c r="H24" s="7"/>
    </row>
    <row r="25" spans="1:10" s="1" customFormat="1" x14ac:dyDescent="0.25">
      <c r="A25" s="7"/>
      <c r="B25" s="8" t="s">
        <v>89</v>
      </c>
      <c r="C25" s="34"/>
      <c r="D25" s="33"/>
      <c r="E25" s="93">
        <f>SUM(E13+E15)</f>
        <v>0</v>
      </c>
      <c r="F25" s="93"/>
      <c r="G25" s="94">
        <f>SUM(G17+G19)</f>
        <v>0</v>
      </c>
      <c r="H25" s="7"/>
    </row>
    <row r="26" spans="1:10" s="4" customFormat="1" ht="5.0999999999999996" customHeight="1" x14ac:dyDescent="0.25">
      <c r="A26" s="7"/>
      <c r="C26" s="5"/>
      <c r="E26" s="6"/>
      <c r="G26" s="6"/>
      <c r="H26" s="7"/>
    </row>
    <row r="27" spans="1:10" s="1" customFormat="1" x14ac:dyDescent="0.25">
      <c r="A27" s="7"/>
      <c r="B27" s="8" t="s">
        <v>86</v>
      </c>
      <c r="C27" s="34"/>
      <c r="D27" s="33" t="str">
        <f>IF((E27+G27)&lt;=2200,"In PSU Limits","Above PSU limits")</f>
        <v>In PSU Limits</v>
      </c>
      <c r="E27" s="93">
        <f>SUM(E11+E25)</f>
        <v>120</v>
      </c>
      <c r="F27" s="93"/>
      <c r="G27" s="94">
        <f>SUM(G11+G25)</f>
        <v>252.5</v>
      </c>
      <c r="H27" s="7"/>
    </row>
    <row r="28" spans="1:10" s="4" customFormat="1" ht="5.0999999999999996" customHeight="1" x14ac:dyDescent="0.25">
      <c r="A28" s="7"/>
      <c r="C28" s="5"/>
      <c r="E28" s="6"/>
      <c r="G28" s="6"/>
      <c r="H28" s="7"/>
    </row>
    <row r="29" spans="1:10" s="1" customFormat="1" x14ac:dyDescent="0.25">
      <c r="A29" s="22"/>
      <c r="B29" s="16" t="s">
        <v>71</v>
      </c>
      <c r="C29" s="60">
        <v>24</v>
      </c>
      <c r="D29" s="29"/>
      <c r="E29" s="121">
        <f>ROUNDUP((C29*E27)/1000,2)</f>
        <v>2.88</v>
      </c>
      <c r="F29" s="121"/>
      <c r="G29" s="122"/>
      <c r="H29" s="22"/>
    </row>
    <row r="30" spans="1:10" s="1" customFormat="1" x14ac:dyDescent="0.25">
      <c r="A30" s="23"/>
      <c r="B30" s="16" t="s">
        <v>72</v>
      </c>
      <c r="C30" s="60">
        <v>0.5</v>
      </c>
      <c r="D30" s="29"/>
      <c r="E30" s="121">
        <f>ROUNDUP((C30*G27)/1000,2)</f>
        <v>0.13</v>
      </c>
      <c r="F30" s="121"/>
      <c r="G30" s="122"/>
      <c r="H30" s="23"/>
    </row>
    <row r="31" spans="1:10" s="1" customFormat="1" x14ac:dyDescent="0.25">
      <c r="A31" s="15"/>
      <c r="B31" s="16" t="s">
        <v>2</v>
      </c>
      <c r="C31" s="61">
        <v>0.25</v>
      </c>
      <c r="D31" s="29"/>
      <c r="E31" s="121">
        <f>ROUNDUP((E29+E30)*C31,2)</f>
        <v>0.76</v>
      </c>
      <c r="F31" s="121"/>
      <c r="G31" s="122"/>
      <c r="H31" s="15"/>
    </row>
    <row r="32" spans="1:10" s="10" customFormat="1" ht="21" x14ac:dyDescent="0.25">
      <c r="A32" s="12"/>
      <c r="B32" s="9" t="s">
        <v>70</v>
      </c>
      <c r="C32" s="42" t="s">
        <v>3</v>
      </c>
      <c r="D32" s="41" t="str">
        <f>IF((E32)&lt;=Loop_Lenght_Section_Selection!H11,"In Battery Limits","Above Battery Limits")</f>
        <v>In Battery Limits</v>
      </c>
      <c r="E32" s="119">
        <f>ROUNDUP(SUM(D29:G31),1)</f>
        <v>3.8000000000000003</v>
      </c>
      <c r="F32" s="119"/>
      <c r="G32" s="119"/>
      <c r="H32" s="12"/>
    </row>
    <row r="34" spans="2:4" x14ac:dyDescent="0.25">
      <c r="C34"/>
      <c r="D34" s="3"/>
    </row>
    <row r="35" spans="2:4" x14ac:dyDescent="0.25">
      <c r="B35" s="128" t="s">
        <v>111</v>
      </c>
      <c r="C35" s="128">
        <f>E21*1.2+(Loop_Lenght_Section_Selection!H15*Loop_Lenght_Section_Selection!H16)+Loop_Lenght_Section_Selection!H18</f>
        <v>45</v>
      </c>
    </row>
    <row r="36" spans="2:4" x14ac:dyDescent="0.25">
      <c r="B36" s="128" t="s">
        <v>112</v>
      </c>
      <c r="C36" s="129">
        <f>E23*1.2++(Loop_Lenght_Section_Selection!H15*Loop_Lenght_Section_Selection!H16)+Loop_Lenght_Section_Selection!H18</f>
        <v>45</v>
      </c>
    </row>
  </sheetData>
  <mergeCells count="7">
    <mergeCell ref="E32:G32"/>
    <mergeCell ref="B1:G1"/>
    <mergeCell ref="E29:G29"/>
    <mergeCell ref="E30:G30"/>
    <mergeCell ref="E31:G31"/>
    <mergeCell ref="E23:G23"/>
    <mergeCell ref="E21:G21"/>
  </mergeCells>
  <conditionalFormatting sqref="D32">
    <cfRule type="containsText" dxfId="16" priority="25" operator="containsText" text="Above Battery Limits">
      <formula>NOT(ISERROR(SEARCH("Above Battery Limits",D32)))</formula>
    </cfRule>
    <cfRule type="containsText" dxfId="15" priority="26" operator="containsText" text="In Battery Limits">
      <formula>NOT(ISERROR(SEARCH("In Battery Limits",D32)))</formula>
    </cfRule>
  </conditionalFormatting>
  <conditionalFormatting sqref="C13">
    <cfRule type="cellIs" dxfId="14" priority="15" operator="greaterThan">
      <formula>318</formula>
    </cfRule>
  </conditionalFormatting>
  <conditionalFormatting sqref="D25">
    <cfRule type="containsText" dxfId="13" priority="18" operator="containsText" text="Above PSU Limits">
      <formula>NOT(ISERROR(SEARCH("Above PSU Limits",D25)))</formula>
    </cfRule>
    <cfRule type="containsText" dxfId="12" priority="19" operator="containsText" text="In PSU Limits">
      <formula>NOT(ISERROR(SEARCH("In PSU Limits",D25)))</formula>
    </cfRule>
  </conditionalFormatting>
  <conditionalFormatting sqref="G17 G19">
    <cfRule type="cellIs" dxfId="11" priority="16" operator="greaterThan">
      <formula>500</formula>
    </cfRule>
  </conditionalFormatting>
  <conditionalFormatting sqref="C15">
    <cfRule type="cellIs" dxfId="10" priority="14" operator="greaterThan">
      <formula>318</formula>
    </cfRule>
  </conditionalFormatting>
  <conditionalFormatting sqref="D27">
    <cfRule type="containsText" dxfId="9" priority="11" operator="containsText" text="Above PSU Limits">
      <formula>NOT(ISERROR(SEARCH("Above PSU Limits",D27)))</formula>
    </cfRule>
    <cfRule type="containsText" dxfId="8" priority="12" operator="containsText" text="In PSU Limits">
      <formula>NOT(ISERROR(SEARCH("In PSU Limits",D27)))</formula>
    </cfRule>
  </conditionalFormatting>
  <conditionalFormatting sqref="D21">
    <cfRule type="containsText" dxfId="7" priority="7" operator="containsText" text="Above System Limits">
      <formula>NOT(ISERROR(SEARCH("Above System Limits",D21)))</formula>
    </cfRule>
    <cfRule type="containsText" dxfId="6" priority="8" operator="containsText" text="In System Limits">
      <formula>NOT(ISERROR(SEARCH("In System Limits",D21)))</formula>
    </cfRule>
  </conditionalFormatting>
  <conditionalFormatting sqref="D23">
    <cfRule type="containsText" dxfId="5" priority="1" operator="containsText" text="Above System Limits">
      <formula>NOT(ISERROR(SEARCH("Above System Limits",D23)))</formula>
    </cfRule>
    <cfRule type="containsText" dxfId="4" priority="2" operator="containsText" text="In System Limits">
      <formula>NOT(ISERROR(SEARCH("In System Limits",D23)))</formula>
    </cfRule>
  </conditionalFormatting>
  <pageMargins left="0.7" right="0.7" top="0.75" bottom="0.75" header="0.3" footer="0.3"/>
  <pageSetup orientation="portrait" r:id="rId1"/>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3af126-92eb-4bb5-8bfd-1661103a2928" xsi:nil="true"/>
    <lcf76f155ced4ddcb4097134ff3c332f xmlns="4faece34-7d17-48ee-81fb-0c8adad6685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E1F84156DF6341882E01270DD8F1F0" ma:contentTypeVersion="16" ma:contentTypeDescription="Create a new document." ma:contentTypeScope="" ma:versionID="3343428f4a1b7e362c9484772d6a69cc">
  <xsd:schema xmlns:xsd="http://www.w3.org/2001/XMLSchema" xmlns:xs="http://www.w3.org/2001/XMLSchema" xmlns:p="http://schemas.microsoft.com/office/2006/metadata/properties" xmlns:ns2="4faece34-7d17-48ee-81fb-0c8adad6685e" xmlns:ns3="eefdb777-de77-4b0f-b080-1b74395788ff" xmlns:ns4="213af126-92eb-4bb5-8bfd-1661103a2928" targetNamespace="http://schemas.microsoft.com/office/2006/metadata/properties" ma:root="true" ma:fieldsID="31b86edf80ded12f8c7e603349a0c224" ns2:_="" ns3:_="" ns4:_="">
    <xsd:import namespace="4faece34-7d17-48ee-81fb-0c8adad6685e"/>
    <xsd:import namespace="eefdb777-de77-4b0f-b080-1b74395788ff"/>
    <xsd:import namespace="213af126-92eb-4bb5-8bfd-1661103a29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ece34-7d17-48ee-81fb-0c8adad668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bc46713-8fa2-488a-ac8b-ad618560c9d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efdb777-de77-4b0f-b080-1b74395788f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3af126-92eb-4bb5-8bfd-1661103a292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e884d84-f86f-4032-b025-cd272e89b69d}" ma:internalName="TaxCatchAll" ma:showField="CatchAllData" ma:web="eefdb777-de77-4b0f-b080-1b74395788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D6D1B2-53EB-4273-AC8F-BFFFD705577A}">
  <ds:schemaRefs>
    <ds:schemaRef ds:uri="http://schemas.microsoft.com/office/2006/metadata/properties"/>
    <ds:schemaRef ds:uri="http://schemas.microsoft.com/office/infopath/2007/PartnerControls"/>
    <ds:schemaRef ds:uri="213af126-92eb-4bb5-8bfd-1661103a2928"/>
    <ds:schemaRef ds:uri="4faece34-7d17-48ee-81fb-0c8adad6685e"/>
  </ds:schemaRefs>
</ds:datastoreItem>
</file>

<file path=customXml/itemProps2.xml><?xml version="1.0" encoding="utf-8"?>
<ds:datastoreItem xmlns:ds="http://schemas.openxmlformats.org/officeDocument/2006/customXml" ds:itemID="{DAFDADDE-5054-466C-B5B0-05006B359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aece34-7d17-48ee-81fb-0c8adad6685e"/>
    <ds:schemaRef ds:uri="eefdb777-de77-4b0f-b080-1b74395788ff"/>
    <ds:schemaRef ds:uri="213af126-92eb-4bb5-8bfd-1661103a29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EC47CD-3DE3-427B-AD68-B68FEE61C7AA}">
  <ds:schemaRefs>
    <ds:schemaRef ds:uri="http://schemas.microsoft.com/sharepoint/v3/contenttype/forms"/>
  </ds:schemaRefs>
</ds:datastoreItem>
</file>

<file path=docMetadata/LabelInfo.xml><?xml version="1.0" encoding="utf-8"?>
<clbl:labelList xmlns:clbl="http://schemas.microsoft.com/office/2020/mipLabelMetadata">
  <clbl:label id="{d546e5e1-5d42-4630-bacd-c69bfdcbd5e8}" enabled="1" method="Standard" siteId="{96ece526-9c7d-48b0-8daf-8b93c90a5d1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Loop 1 Field Devices</vt:lpstr>
      <vt:lpstr>Loop 2 Field Devices</vt:lpstr>
      <vt:lpstr>Loop_Lenght_Section_Selection</vt:lpstr>
      <vt:lpstr>PL-1000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Esposito, Antonio</dc:creator>
  <cp:lastModifiedBy>Baldwin, Andrew</cp:lastModifiedBy>
  <dcterms:created xsi:type="dcterms:W3CDTF">2021-06-29T07:08:00Z</dcterms:created>
  <dcterms:modified xsi:type="dcterms:W3CDTF">2022-11-16T10:05:56Z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46e5e1-5d42-4630-bacd-c69bfdcbd5e8_Enabled">
    <vt:lpwstr>true</vt:lpwstr>
  </property>
  <property fmtid="{D5CDD505-2E9C-101B-9397-08002B2CF9AE}" pid="3" name="MSIP_Label_d546e5e1-5d42-4630-bacd-c69bfdcbd5e8_SetDate">
    <vt:lpwstr>2021-09-26T10:00:21Z</vt:lpwstr>
  </property>
  <property fmtid="{D5CDD505-2E9C-101B-9397-08002B2CF9AE}" pid="4" name="MSIP_Label_d546e5e1-5d42-4630-bacd-c69bfdcbd5e8_Method">
    <vt:lpwstr>Standard</vt:lpwstr>
  </property>
  <property fmtid="{D5CDD505-2E9C-101B-9397-08002B2CF9AE}" pid="5" name="MSIP_Label_d546e5e1-5d42-4630-bacd-c69bfdcbd5e8_Name">
    <vt:lpwstr>d546e5e1-5d42-4630-bacd-c69bfdcbd5e8</vt:lpwstr>
  </property>
  <property fmtid="{D5CDD505-2E9C-101B-9397-08002B2CF9AE}" pid="6" name="MSIP_Label_d546e5e1-5d42-4630-bacd-c69bfdcbd5e8_SiteId">
    <vt:lpwstr>96ece526-9c7d-48b0-8daf-8b93c90a5d18</vt:lpwstr>
  </property>
  <property fmtid="{D5CDD505-2E9C-101B-9397-08002B2CF9AE}" pid="7" name="MSIP_Label_d546e5e1-5d42-4630-bacd-c69bfdcbd5e8_ActionId">
    <vt:lpwstr>35fada3e-f3ed-4823-95bc-79a3baf509dd</vt:lpwstr>
  </property>
  <property fmtid="{D5CDD505-2E9C-101B-9397-08002B2CF9AE}" pid="8" name="MSIP_Label_d546e5e1-5d42-4630-bacd-c69bfdcbd5e8_ContentBits">
    <vt:lpwstr>0</vt:lpwstr>
  </property>
  <property fmtid="{D5CDD505-2E9C-101B-9397-08002B2CF9AE}" pid="9" name="SmartTag">
    <vt:lpwstr>4</vt:lpwstr>
  </property>
  <property fmtid="{D5CDD505-2E9C-101B-9397-08002B2CF9AE}" pid="10" name="ContentTypeId">
    <vt:lpwstr>0x01010037E1F84156DF6341882E01270DD8F1F0</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